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50C335ED-01C9-4228-AC13-B1897F44AE94}" xr6:coauthVersionLast="36" xr6:coauthVersionMax="36" xr10:uidLastSave="{00000000-0000-0000-0000-000000000000}"/>
  <bookViews>
    <workbookView xWindow="0" yWindow="0" windowWidth="28800" windowHeight="116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36" r:id="rId3"/>
    <sheet name="3.2 паспорт Техсостояние ЛЭП" sheetId="37" r:id="rId4"/>
    <sheet name="3.3 паспорт описание" sheetId="6" r:id="rId5"/>
    <sheet name="3.4. Паспорт надежность" sheetId="39" r:id="rId6"/>
    <sheet name="4. паспортбюджет" sheetId="10" r:id="rId7"/>
    <sheet name="5. анализ эконом эфф" sheetId="34" r:id="rId8"/>
    <sheet name="6.1. Паспорт сетевой график" sheetId="16" r:id="rId9"/>
    <sheet name="6.2. Паспорт фин осв ввод " sheetId="33" r:id="rId10"/>
    <sheet name="7. Паспорт отчет о закупке" sheetId="5" r:id="rId11"/>
    <sheet name="8. Общие сведения" sheetId="27" r:id="rId12"/>
  </sheets>
  <externalReferences>
    <externalReference r:id="rId13"/>
    <externalReference r:id="rId14"/>
    <externalReference r:id="rId15"/>
  </externalReferences>
  <definedNames>
    <definedName name="_xlnm._FilterDatabase" localSheetId="2" hidden="1">'3.1. паспорт Техсостояние ПС'!$A$24:$O$24</definedName>
    <definedName name="ак" localSheetId="7">#REF!</definedName>
    <definedName name="ак">#REF!</definedName>
    <definedName name="в" localSheetId="7">#REF!</definedName>
    <definedName name="в">#REF!</definedName>
    <definedName name="Вид_работ" localSheetId="7">#REF!</definedName>
    <definedName name="Вид_работ" localSheetId="9">#REF!</definedName>
    <definedName name="Вид_работ">#REF!</definedName>
    <definedName name="Вид_работ_2" localSheetId="7">#REF!</definedName>
    <definedName name="Вид_работ_2" localSheetId="9">#REF!</definedName>
    <definedName name="Вид_работ_2">#REF!</definedName>
    <definedName name="Виды_затрат" localSheetId="7">#REF!</definedName>
    <definedName name="Виды_затрат" localSheetId="9">#REF!</definedName>
    <definedName name="Виды_затрат">#REF!</definedName>
    <definedName name="Виды_работ" localSheetId="7">#REF!</definedName>
    <definedName name="Виды_работ" localSheetId="9">#REF!</definedName>
    <definedName name="Виды_работ">#REF!</definedName>
    <definedName name="Графики" localSheetId="7">#REF!</definedName>
    <definedName name="Графики" localSheetId="9">#REF!</definedName>
    <definedName name="Графики">#REF!</definedName>
    <definedName name="Группа_инвестпроектов" localSheetId="7">#REF!</definedName>
    <definedName name="Группа_инвестпроектов" localSheetId="9">#REF!</definedName>
    <definedName name="Группа_инвестпроектов">#REF!</definedName>
    <definedName name="деньги" localSheetId="7">#REF!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7">#REF!</definedName>
    <definedName name="источник" localSheetId="9">#REF!</definedName>
    <definedName name="источник">#REF!</definedName>
    <definedName name="Категории_мероприятий" localSheetId="7">#REF!</definedName>
    <definedName name="Категории_мероприятий" localSheetId="9">#REF!</definedName>
    <definedName name="Категории_мероприятий">#REF!</definedName>
    <definedName name="Методика_расчета" localSheetId="7">#REF!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ЛЭП'!$A$1:$AA$42</definedName>
    <definedName name="_xlnm.Print_Area" localSheetId="4">'3.3 паспорт описание'!$A$1:$C$30</definedName>
    <definedName name="_xlnm.Print_Area" localSheetId="5">'3.4. Паспорт надежность'!$A$1:$Z$46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 '!$A$1:$AC$64</definedName>
    <definedName name="_xlnm.Print_Area" localSheetId="10">'7. Паспорт отчет о закупке'!$A$1:$AV$34</definedName>
    <definedName name="_xlnm.Print_Area" localSheetId="11">'8. Общие сведения'!$A$1:$B$119</definedName>
    <definedName name="Определен_источник" localSheetId="7">#REF!</definedName>
    <definedName name="Определен_источник" localSheetId="9">#REF!</definedName>
    <definedName name="Определен_источник">#REF!</definedName>
    <definedName name="Снижение" localSheetId="7">#REF!</definedName>
    <definedName name="Снижение" localSheetId="9">#REF!</definedName>
    <definedName name="Снижение">#REF!</definedName>
    <definedName name="список" localSheetId="2">[1]группаИП!$A$7:$A$49</definedName>
    <definedName name="список" localSheetId="3">[1]группаИП!$A$7:$A$49</definedName>
    <definedName name="список" localSheetId="5">[2]группаИП!$A$7:$A$49</definedName>
    <definedName name="список">[3]группаИП!$A$7:$A$49</definedName>
    <definedName name="список1">[3]цели!$A$1:$A$7</definedName>
    <definedName name="список2" localSheetId="2">[1]МО!$A$1:$A$22</definedName>
    <definedName name="список2" localSheetId="3">[1]МО!$A$1:$A$22</definedName>
    <definedName name="список2" localSheetId="5">[2]МО!$A$1:$A$22</definedName>
    <definedName name="список2">[3]МО!$A$1:$A$22</definedName>
    <definedName name="список5" localSheetId="2">'[1]список 5'!$A$1:$A$2</definedName>
    <definedName name="список5" localSheetId="3">'[1]список 5'!$A$1:$A$2</definedName>
    <definedName name="список5" localSheetId="5">'[2]список 5'!$A$1:$A$2</definedName>
    <definedName name="список5">'[3]список 5'!$A$1:$A$2</definedName>
    <definedName name="список6" localSheetId="2">'[1]список 5'!$A$1:$A$3</definedName>
    <definedName name="список6" localSheetId="3">'[1]список 5'!$A$1:$A$3</definedName>
    <definedName name="список6" localSheetId="5">'[2]список 5'!$A$1:$A$3</definedName>
    <definedName name="список6">'[3]список 5'!$A$1:$A$3</definedName>
    <definedName name="список7" localSheetId="2">[1]список7!$A$1:$A$3</definedName>
    <definedName name="список7" localSheetId="3">[1]список7!$A$1:$A$3</definedName>
    <definedName name="список7" localSheetId="5">[2]список7!$A$1:$A$3</definedName>
    <definedName name="список7">[3]список7!$A$1:$A$3</definedName>
    <definedName name="Стадия_реализации" localSheetId="7">#REF!</definedName>
    <definedName name="Стадия_реализации" localSheetId="9">#REF!</definedName>
    <definedName name="Стадия_реализации">#REF!</definedName>
    <definedName name="Тип_проекта" localSheetId="7">#REF!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AD29" i="5" l="1"/>
  <c r="K29" i="5"/>
  <c r="D29" i="5"/>
  <c r="B33" i="27" l="1"/>
  <c r="B34" i="27" s="1"/>
  <c r="B44" i="34" l="1"/>
  <c r="C67" i="34"/>
  <c r="J106" i="34"/>
  <c r="K106" i="34" s="1"/>
  <c r="L106" i="34" s="1"/>
  <c r="M106" i="34" s="1"/>
  <c r="N106" i="34" s="1"/>
  <c r="O106" i="34" s="1"/>
  <c r="P106" i="34" s="1"/>
  <c r="Q106" i="34" s="1"/>
  <c r="R106" i="34" s="1"/>
  <c r="S106" i="34" s="1"/>
  <c r="T106" i="34" s="1"/>
  <c r="U106" i="34" s="1"/>
  <c r="V106" i="34" s="1"/>
  <c r="W106" i="34" s="1"/>
  <c r="X106" i="34" s="1"/>
  <c r="Y106" i="34" s="1"/>
  <c r="Z106" i="34" s="1"/>
  <c r="AA106" i="34" s="1"/>
  <c r="AB106" i="34" s="1"/>
  <c r="AC106" i="34" s="1"/>
  <c r="AD106" i="34" s="1"/>
  <c r="AE106" i="34" s="1"/>
  <c r="AF106" i="34" s="1"/>
  <c r="AG106" i="34" s="1"/>
  <c r="I106" i="34"/>
  <c r="AC24" i="33" l="1"/>
  <c r="B70" i="27" l="1"/>
  <c r="B69" i="27"/>
  <c r="F26" i="33" l="1"/>
  <c r="F27" i="33"/>
  <c r="F28" i="33"/>
  <c r="F29" i="33"/>
  <c r="F30" i="33"/>
  <c r="F31" i="33"/>
  <c r="F32" i="33"/>
  <c r="F33" i="33"/>
  <c r="F34" i="33"/>
  <c r="F35" i="33"/>
  <c r="F36" i="33"/>
  <c r="F37" i="33"/>
  <c r="F38" i="33"/>
  <c r="F39" i="33"/>
  <c r="F40" i="33"/>
  <c r="F41" i="33"/>
  <c r="F42" i="33"/>
  <c r="F43" i="33"/>
  <c r="F44" i="33"/>
  <c r="F45" i="33"/>
  <c r="F46" i="33"/>
  <c r="F47" i="33"/>
  <c r="F48" i="33"/>
  <c r="F49" i="33"/>
  <c r="F50" i="33"/>
  <c r="F51" i="33"/>
  <c r="F52" i="33"/>
  <c r="F53" i="33"/>
  <c r="F54" i="33"/>
  <c r="F55" i="33"/>
  <c r="F56" i="33"/>
  <c r="F57" i="33"/>
  <c r="F58" i="33"/>
  <c r="F59" i="33"/>
  <c r="F60" i="33"/>
  <c r="F61" i="33"/>
  <c r="F62" i="33"/>
  <c r="F63" i="33"/>
  <c r="F64" i="33"/>
  <c r="F25" i="33"/>
  <c r="I30" i="33"/>
  <c r="I24" i="33"/>
  <c r="K30" i="33"/>
  <c r="K24" i="33"/>
  <c r="D26" i="5" l="1"/>
  <c r="B92" i="27" l="1"/>
  <c r="B96" i="27" s="1"/>
  <c r="B91" i="27"/>
  <c r="B94" i="27" s="1"/>
  <c r="B88" i="27"/>
  <c r="J56" i="33" l="1"/>
  <c r="J49" i="33"/>
  <c r="N25" i="36" l="1"/>
  <c r="R47" i="37"/>
  <c r="S47" i="37" s="1"/>
  <c r="R46" i="37"/>
  <c r="R45" i="37"/>
  <c r="S45" i="37" s="1"/>
  <c r="R43" i="37"/>
  <c r="Q43" i="37"/>
  <c r="Q46" i="37" s="1"/>
  <c r="E40" i="37"/>
  <c r="E39" i="37"/>
  <c r="E38" i="37"/>
  <c r="D38" i="37"/>
  <c r="E37" i="37"/>
  <c r="E36" i="37"/>
  <c r="E35" i="37"/>
  <c r="E34" i="37"/>
  <c r="E33" i="37"/>
  <c r="E32" i="37"/>
  <c r="E31" i="37"/>
  <c r="E30" i="37"/>
  <c r="E29" i="37"/>
  <c r="E28" i="37"/>
  <c r="E27" i="37"/>
  <c r="E26" i="37"/>
  <c r="E25" i="37"/>
  <c r="D25" i="37"/>
  <c r="S43" i="37" l="1"/>
  <c r="S46" i="37"/>
  <c r="B90" i="27" l="1"/>
  <c r="E64" i="33" l="1"/>
  <c r="E63" i="33"/>
  <c r="E62" i="33"/>
  <c r="E61" i="33"/>
  <c r="E60" i="33"/>
  <c r="E59" i="33"/>
  <c r="E58" i="33"/>
  <c r="E57" i="33"/>
  <c r="E56" i="33"/>
  <c r="E55" i="33"/>
  <c r="E54" i="33"/>
  <c r="E53" i="33"/>
  <c r="E52" i="33"/>
  <c r="E51" i="33"/>
  <c r="E50" i="33"/>
  <c r="E49" i="33"/>
  <c r="E48" i="33"/>
  <c r="E47" i="33"/>
  <c r="E46" i="33"/>
  <c r="E45" i="33"/>
  <c r="E44" i="33"/>
  <c r="E43" i="33"/>
  <c r="E42" i="33"/>
  <c r="E41" i="33"/>
  <c r="E40" i="33"/>
  <c r="E39" i="33"/>
  <c r="E38" i="33"/>
  <c r="E37" i="33"/>
  <c r="E36" i="33"/>
  <c r="E35" i="33"/>
  <c r="E34" i="33"/>
  <c r="E33" i="33"/>
  <c r="E32" i="33"/>
  <c r="E31" i="33"/>
  <c r="E29" i="33"/>
  <c r="E28" i="33"/>
  <c r="E27" i="33"/>
  <c r="E26" i="33"/>
  <c r="E25" i="33"/>
  <c r="D30" i="33"/>
  <c r="D24" i="33"/>
  <c r="J30" i="33"/>
  <c r="J24" i="33"/>
  <c r="B81" i="34"/>
  <c r="B25" i="34"/>
  <c r="G129" i="34" l="1"/>
  <c r="H129" i="34" s="1"/>
  <c r="I129" i="34" s="1"/>
  <c r="J129" i="34" s="1"/>
  <c r="K129" i="34" s="1"/>
  <c r="L129" i="34" s="1"/>
  <c r="M129" i="34" s="1"/>
  <c r="C130" i="34"/>
  <c r="H52" i="33" l="1"/>
  <c r="H49" i="33"/>
  <c r="H48" i="33"/>
  <c r="H47" i="33"/>
  <c r="H56" i="33" s="1"/>
  <c r="H46" i="33"/>
  <c r="H45" i="33"/>
  <c r="H44" i="33"/>
  <c r="H30" i="33"/>
  <c r="H24" i="33"/>
  <c r="C49" i="33"/>
  <c r="C48" i="33"/>
  <c r="C47" i="33"/>
  <c r="C56" i="33" s="1"/>
  <c r="C46" i="33"/>
  <c r="C45" i="33"/>
  <c r="C44" i="33"/>
  <c r="C30" i="33"/>
  <c r="C52" i="33" s="1"/>
  <c r="C24" i="33"/>
  <c r="C48" i="34" l="1"/>
  <c r="D48" i="34"/>
  <c r="E48" i="34"/>
  <c r="F48" i="34"/>
  <c r="G48" i="34"/>
  <c r="B49" i="34"/>
  <c r="B48" i="34"/>
  <c r="E101" i="34"/>
  <c r="F101" i="34"/>
  <c r="G101" i="34"/>
  <c r="H101" i="34"/>
  <c r="I101" i="34"/>
  <c r="J101" i="34"/>
  <c r="K101" i="34"/>
  <c r="L101" i="34"/>
  <c r="M101" i="34"/>
  <c r="N101" i="34"/>
  <c r="O101" i="34"/>
  <c r="P101" i="34"/>
  <c r="Q101" i="34"/>
  <c r="R101" i="34"/>
  <c r="S101" i="34"/>
  <c r="T101" i="34"/>
  <c r="U101" i="34"/>
  <c r="V101" i="34"/>
  <c r="W101" i="34"/>
  <c r="X101" i="34"/>
  <c r="Y101" i="34"/>
  <c r="Z101" i="34"/>
  <c r="AA101" i="34"/>
  <c r="AB101" i="34"/>
  <c r="AC101" i="34"/>
  <c r="AD101" i="34"/>
  <c r="AE101" i="34"/>
  <c r="AF101" i="34"/>
  <c r="AG101" i="34"/>
  <c r="D101" i="34"/>
  <c r="D102" i="34"/>
  <c r="D133" i="34"/>
  <c r="C81" i="34"/>
  <c r="AD28" i="5" l="1"/>
  <c r="R28" i="5"/>
  <c r="B130" i="34" l="1"/>
  <c r="AD26" i="5" l="1"/>
  <c r="AE26" i="5" s="1"/>
  <c r="D28" i="5"/>
  <c r="K26" i="5"/>
  <c r="K28" i="5" s="1"/>
  <c r="G30" i="33" l="1"/>
  <c r="AB63" i="33"/>
  <c r="AB62" i="33"/>
  <c r="AB60" i="33"/>
  <c r="AB55" i="33"/>
  <c r="AB53" i="33"/>
  <c r="AB51" i="33"/>
  <c r="AB43" i="33"/>
  <c r="AB42" i="33"/>
  <c r="AB41" i="33"/>
  <c r="AB40" i="33"/>
  <c r="AB39" i="33"/>
  <c r="AB38" i="33"/>
  <c r="AB37" i="33"/>
  <c r="AB36" i="33"/>
  <c r="AB35" i="33"/>
  <c r="AB33" i="33"/>
  <c r="AB29" i="33"/>
  <c r="AB28" i="33"/>
  <c r="AB26" i="33"/>
  <c r="AB25" i="33"/>
  <c r="AB44" i="33"/>
  <c r="AB46" i="33"/>
  <c r="AB48" i="33"/>
  <c r="A14" i="33"/>
  <c r="A11" i="33"/>
  <c r="A8" i="33"/>
  <c r="A4" i="33"/>
  <c r="AC64" i="33"/>
  <c r="AB64" i="33"/>
  <c r="AC63" i="33"/>
  <c r="AC62" i="33"/>
  <c r="AC61" i="33"/>
  <c r="AC60" i="33"/>
  <c r="AC59" i="33"/>
  <c r="AB59" i="33"/>
  <c r="AC58" i="33"/>
  <c r="AB58" i="33"/>
  <c r="AC57" i="33"/>
  <c r="AC56" i="33"/>
  <c r="AC55" i="33"/>
  <c r="AC54" i="33"/>
  <c r="AC53" i="33"/>
  <c r="AC52" i="33"/>
  <c r="AC51" i="33"/>
  <c r="AC50" i="33"/>
  <c r="AC49" i="33"/>
  <c r="AC48" i="33"/>
  <c r="AC47" i="33"/>
  <c r="AC46" i="33"/>
  <c r="AC45" i="33"/>
  <c r="AC44" i="33"/>
  <c r="AC43" i="33"/>
  <c r="AC42" i="33"/>
  <c r="AC41" i="33"/>
  <c r="AC40" i="33"/>
  <c r="AC39" i="33"/>
  <c r="AC38" i="33"/>
  <c r="AC37" i="33"/>
  <c r="AC36" i="33"/>
  <c r="AC35" i="33"/>
  <c r="AC34" i="33"/>
  <c r="AB34" i="33"/>
  <c r="AC33" i="33"/>
  <c r="AC32" i="33"/>
  <c r="AB32" i="33"/>
  <c r="AC31" i="33"/>
  <c r="AB31" i="33"/>
  <c r="AA30" i="33"/>
  <c r="Z30" i="33"/>
  <c r="Y30" i="33"/>
  <c r="X30" i="33"/>
  <c r="W30" i="33"/>
  <c r="V30" i="33"/>
  <c r="U30" i="33"/>
  <c r="T30" i="33"/>
  <c r="S30" i="33"/>
  <c r="R30" i="33"/>
  <c r="Q30" i="33"/>
  <c r="P30" i="33"/>
  <c r="O30" i="33"/>
  <c r="N30" i="33"/>
  <c r="M30" i="33"/>
  <c r="L30" i="33"/>
  <c r="AC30" i="33"/>
  <c r="C49" i="7" s="1"/>
  <c r="AC29" i="33"/>
  <c r="AC28" i="33"/>
  <c r="AC27" i="33"/>
  <c r="AB27" i="33"/>
  <c r="AC26" i="33"/>
  <c r="AC25" i="33"/>
  <c r="AA24" i="33"/>
  <c r="Z24" i="33"/>
  <c r="Y24" i="33"/>
  <c r="X24" i="33"/>
  <c r="W24" i="33"/>
  <c r="V24" i="33"/>
  <c r="U24" i="33"/>
  <c r="T24" i="33"/>
  <c r="S24" i="33"/>
  <c r="R24" i="33"/>
  <c r="Q24" i="33"/>
  <c r="P24" i="33"/>
  <c r="O24" i="33"/>
  <c r="N24" i="33"/>
  <c r="M24" i="33"/>
  <c r="L24" i="33"/>
  <c r="C48" i="7"/>
  <c r="G24" i="33"/>
  <c r="AB52" i="33" l="1"/>
  <c r="E30" i="33"/>
  <c r="C96" i="27" s="1"/>
  <c r="AB45" i="33"/>
  <c r="AB49" i="33"/>
  <c r="E24" i="33"/>
  <c r="AB54" i="33"/>
  <c r="AB57" i="33"/>
  <c r="AB24" i="33"/>
  <c r="F24" i="33"/>
  <c r="C94" i="27" s="1"/>
  <c r="AB30" i="33"/>
  <c r="AB47" i="33"/>
  <c r="AB50" i="33"/>
  <c r="D67" i="34" l="1"/>
  <c r="D76" i="34" s="1"/>
  <c r="B29" i="34"/>
  <c r="AB56" i="33"/>
  <c r="O28" i="36"/>
  <c r="N28" i="36"/>
  <c r="AB61" i="33" l="1"/>
  <c r="P28" i="36"/>
  <c r="A14" i="39" l="1"/>
  <c r="A4" i="39"/>
  <c r="A8" i="39"/>
  <c r="A11" i="39"/>
  <c r="A9" i="37" l="1"/>
  <c r="A12" i="37"/>
  <c r="A16" i="36"/>
  <c r="A13" i="36"/>
  <c r="A6" i="36" l="1"/>
  <c r="A15" i="37"/>
  <c r="A4" i="12" l="1"/>
  <c r="A5" i="37"/>
  <c r="A10" i="36" l="1"/>
  <c r="B110" i="27" l="1"/>
  <c r="D113" i="34" l="1"/>
  <c r="A15" i="34"/>
  <c r="A12" i="34"/>
  <c r="A9" i="34"/>
  <c r="A5" i="34"/>
  <c r="D134" i="34"/>
  <c r="C73" i="34" s="1"/>
  <c r="C134" i="34"/>
  <c r="B73" i="34" s="1"/>
  <c r="E133" i="34"/>
  <c r="E134" i="34" s="1"/>
  <c r="D73" i="34" s="1"/>
  <c r="C132" i="34"/>
  <c r="D132" i="34" s="1"/>
  <c r="E132" i="34" s="1"/>
  <c r="F132" i="34" s="1"/>
  <c r="G132" i="34" s="1"/>
  <c r="H132" i="34" s="1"/>
  <c r="I132" i="34" s="1"/>
  <c r="J132" i="34" s="1"/>
  <c r="K132" i="34" s="1"/>
  <c r="L132" i="34" s="1"/>
  <c r="M132" i="34" s="1"/>
  <c r="N132" i="34" s="1"/>
  <c r="O132" i="34" s="1"/>
  <c r="P132" i="34" s="1"/>
  <c r="Q132" i="34" s="1"/>
  <c r="R132" i="34" s="1"/>
  <c r="S132" i="34" s="1"/>
  <c r="T132" i="34" s="1"/>
  <c r="U132" i="34" s="1"/>
  <c r="V132" i="34" s="1"/>
  <c r="W132" i="34" s="1"/>
  <c r="X132" i="34" s="1"/>
  <c r="Y132" i="34" s="1"/>
  <c r="Z132" i="34" s="1"/>
  <c r="AA132" i="34" s="1"/>
  <c r="AB132" i="34" s="1"/>
  <c r="AC132" i="34" s="1"/>
  <c r="AD132" i="34" s="1"/>
  <c r="AE132" i="34" s="1"/>
  <c r="AF132" i="34" s="1"/>
  <c r="AG132" i="34" s="1"/>
  <c r="AH132" i="34" s="1"/>
  <c r="C128" i="34"/>
  <c r="D128" i="34" s="1"/>
  <c r="E128" i="34" s="1"/>
  <c r="F128" i="34" s="1"/>
  <c r="G128" i="34" s="1"/>
  <c r="H128" i="34" s="1"/>
  <c r="I128" i="34" s="1"/>
  <c r="J128" i="34" s="1"/>
  <c r="K128" i="34" s="1"/>
  <c r="L128" i="34" s="1"/>
  <c r="M128" i="34" s="1"/>
  <c r="N128" i="34" s="1"/>
  <c r="O128" i="34" s="1"/>
  <c r="P128" i="34" s="1"/>
  <c r="Q128" i="34" s="1"/>
  <c r="R128" i="34" s="1"/>
  <c r="S128" i="34" s="1"/>
  <c r="T128" i="34" s="1"/>
  <c r="U128" i="34" s="1"/>
  <c r="V128" i="34" s="1"/>
  <c r="W128" i="34" s="1"/>
  <c r="X128" i="34" s="1"/>
  <c r="Y128" i="34" s="1"/>
  <c r="Z128" i="34" s="1"/>
  <c r="AA128" i="34" s="1"/>
  <c r="AB128" i="34" s="1"/>
  <c r="AC128" i="34" s="1"/>
  <c r="AD128" i="34" s="1"/>
  <c r="AE128" i="34" s="1"/>
  <c r="AF128" i="34" s="1"/>
  <c r="AG128" i="34" s="1"/>
  <c r="AH128" i="34" s="1"/>
  <c r="G114" i="34"/>
  <c r="B113" i="34"/>
  <c r="D100" i="34"/>
  <c r="E100" i="34" s="1"/>
  <c r="F100" i="34" s="1"/>
  <c r="G100" i="34" s="1"/>
  <c r="H100" i="34" s="1"/>
  <c r="I100" i="34" s="1"/>
  <c r="J100" i="34" s="1"/>
  <c r="K100" i="34" s="1"/>
  <c r="L100" i="34" s="1"/>
  <c r="M100" i="34" s="1"/>
  <c r="N100" i="34" s="1"/>
  <c r="O100" i="34" s="1"/>
  <c r="P100" i="34" s="1"/>
  <c r="Q100" i="34" s="1"/>
  <c r="R100" i="34" s="1"/>
  <c r="S100" i="34" s="1"/>
  <c r="T100" i="34" s="1"/>
  <c r="U100" i="34" s="1"/>
  <c r="V100" i="34" s="1"/>
  <c r="W100" i="34" s="1"/>
  <c r="X100" i="34" s="1"/>
  <c r="Y100" i="34" s="1"/>
  <c r="Z100" i="34" s="1"/>
  <c r="AA100" i="34" s="1"/>
  <c r="AB100" i="34" s="1"/>
  <c r="AC100" i="34" s="1"/>
  <c r="AD100" i="34" s="1"/>
  <c r="AE100" i="34" s="1"/>
  <c r="AF100" i="34" s="1"/>
  <c r="AG100" i="34" s="1"/>
  <c r="C91" i="34"/>
  <c r="D91" i="34" s="1"/>
  <c r="E91" i="34" s="1"/>
  <c r="F91" i="34" s="1"/>
  <c r="G91" i="34" s="1"/>
  <c r="H91" i="34" s="1"/>
  <c r="I91" i="34" s="1"/>
  <c r="J91" i="34" s="1"/>
  <c r="K91" i="34" s="1"/>
  <c r="L91" i="34" s="1"/>
  <c r="M91" i="34" s="1"/>
  <c r="N91" i="34" s="1"/>
  <c r="O91" i="34" s="1"/>
  <c r="P91" i="34" s="1"/>
  <c r="Q91" i="34" s="1"/>
  <c r="R91" i="34" s="1"/>
  <c r="S91" i="34" s="1"/>
  <c r="T91" i="34" s="1"/>
  <c r="U91" i="34" s="1"/>
  <c r="V91" i="34" s="1"/>
  <c r="W91" i="34" s="1"/>
  <c r="X91" i="34" s="1"/>
  <c r="Y91" i="34" s="1"/>
  <c r="Z91" i="34" s="1"/>
  <c r="AA91" i="34" s="1"/>
  <c r="AB91" i="34" s="1"/>
  <c r="AC91" i="34" s="1"/>
  <c r="AD91" i="34" s="1"/>
  <c r="AE91" i="34" s="1"/>
  <c r="AF91" i="34" s="1"/>
  <c r="AG91" i="34" s="1"/>
  <c r="B76" i="34"/>
  <c r="B74" i="34"/>
  <c r="A62" i="34"/>
  <c r="B60" i="34"/>
  <c r="C58" i="34"/>
  <c r="C74" i="34" s="1"/>
  <c r="B52" i="34"/>
  <c r="B50" i="34"/>
  <c r="B59" i="34" s="1"/>
  <c r="B47" i="34"/>
  <c r="B45" i="34"/>
  <c r="D130" i="34" l="1"/>
  <c r="C49" i="34" s="1"/>
  <c r="C50" i="34" s="1"/>
  <c r="F133" i="34"/>
  <c r="G133" i="34" s="1"/>
  <c r="H133" i="34" s="1"/>
  <c r="B46" i="34"/>
  <c r="G113" i="34"/>
  <c r="I113" i="34" s="1"/>
  <c r="I115" i="34" s="1"/>
  <c r="C103" i="34" s="1"/>
  <c r="C101" i="34" s="1"/>
  <c r="B80" i="34"/>
  <c r="B66" i="34"/>
  <c r="B68" i="34" s="1"/>
  <c r="C47" i="34"/>
  <c r="C52" i="34"/>
  <c r="D58" i="34"/>
  <c r="G134" i="34" l="1"/>
  <c r="F73" i="34" s="1"/>
  <c r="F134" i="34"/>
  <c r="E73" i="34" s="1"/>
  <c r="E130" i="34"/>
  <c r="D49" i="34" s="1"/>
  <c r="D50" i="34" s="1"/>
  <c r="H48" i="34"/>
  <c r="D103" i="34"/>
  <c r="E103" i="34" s="1"/>
  <c r="G115" i="34"/>
  <c r="D74" i="34"/>
  <c r="D47" i="34"/>
  <c r="D52" i="34"/>
  <c r="E58" i="34"/>
  <c r="I133" i="34"/>
  <c r="I134" i="34" s="1"/>
  <c r="H73" i="34" s="1"/>
  <c r="H134" i="34"/>
  <c r="G73" i="34" s="1"/>
  <c r="B75" i="34"/>
  <c r="C59" i="34"/>
  <c r="B85" i="34" l="1"/>
  <c r="I48" i="34"/>
  <c r="F130" i="34"/>
  <c r="E49" i="34" s="1"/>
  <c r="E50" i="34" s="1"/>
  <c r="C80" i="34"/>
  <c r="J133" i="34"/>
  <c r="J134" i="34" s="1"/>
  <c r="I73" i="34" s="1"/>
  <c r="E52" i="34"/>
  <c r="F58" i="34"/>
  <c r="E74" i="34"/>
  <c r="E47" i="34"/>
  <c r="F103" i="34"/>
  <c r="C85" i="34" l="1"/>
  <c r="J48" i="34"/>
  <c r="G130" i="34"/>
  <c r="F49" i="34" s="1"/>
  <c r="F50" i="34" s="1"/>
  <c r="D59" i="34"/>
  <c r="E59" i="34"/>
  <c r="G103" i="34"/>
  <c r="G58" i="34"/>
  <c r="F52" i="34"/>
  <c r="F47" i="34"/>
  <c r="F74" i="34"/>
  <c r="K133" i="34"/>
  <c r="D80" i="34" l="1"/>
  <c r="H130" i="34"/>
  <c r="G49" i="34" s="1"/>
  <c r="G50" i="34"/>
  <c r="K48" i="34"/>
  <c r="H103" i="34"/>
  <c r="L133" i="34"/>
  <c r="L134" i="34" s="1"/>
  <c r="K73" i="34" s="1"/>
  <c r="E80" i="34"/>
  <c r="K134" i="34"/>
  <c r="J73" i="34" s="1"/>
  <c r="G74" i="34"/>
  <c r="H58" i="34"/>
  <c r="G52" i="34"/>
  <c r="G47" i="34"/>
  <c r="D85" i="34" l="1"/>
  <c r="E85" i="34"/>
  <c r="L48" i="34"/>
  <c r="I130" i="34"/>
  <c r="H49" i="34" s="1"/>
  <c r="H50" i="34" s="1"/>
  <c r="I58" i="34"/>
  <c r="H74" i="34"/>
  <c r="H47" i="34"/>
  <c r="H52" i="34"/>
  <c r="F59" i="34"/>
  <c r="G59" i="34"/>
  <c r="I103" i="34"/>
  <c r="M133" i="34"/>
  <c r="M134" i="34" s="1"/>
  <c r="L73" i="34" s="1"/>
  <c r="F85" i="34" l="1"/>
  <c r="J130" i="34"/>
  <c r="I49" i="34" s="1"/>
  <c r="I50" i="34" s="1"/>
  <c r="N129" i="34"/>
  <c r="M48" i="34" s="1"/>
  <c r="F80" i="34"/>
  <c r="G80" i="34"/>
  <c r="N133" i="34"/>
  <c r="J103" i="34"/>
  <c r="I74" i="34"/>
  <c r="J58" i="34"/>
  <c r="I47" i="34"/>
  <c r="I52" i="34"/>
  <c r="N48" i="34" l="1"/>
  <c r="O129" i="34"/>
  <c r="K130" i="34"/>
  <c r="J49" i="34" s="1"/>
  <c r="J50" i="34" s="1"/>
  <c r="J52" i="34"/>
  <c r="J47" i="34"/>
  <c r="J74" i="34"/>
  <c r="K58" i="34"/>
  <c r="K103" i="34"/>
  <c r="O133" i="34"/>
  <c r="H59" i="34"/>
  <c r="I59" i="34"/>
  <c r="N134" i="34"/>
  <c r="M73" i="34" s="1"/>
  <c r="G85" i="34" l="1"/>
  <c r="L130" i="34"/>
  <c r="K49" i="34" s="1"/>
  <c r="K50" i="34" s="1"/>
  <c r="O48" i="34"/>
  <c r="P129" i="34"/>
  <c r="I80" i="34"/>
  <c r="P133" i="34"/>
  <c r="J59" i="34"/>
  <c r="K74" i="34"/>
  <c r="K52" i="34"/>
  <c r="K47" i="34"/>
  <c r="L58" i="34"/>
  <c r="O134" i="34"/>
  <c r="N73" i="34" s="1"/>
  <c r="H80" i="34"/>
  <c r="L103" i="34"/>
  <c r="H85" i="34" l="1"/>
  <c r="P48" i="34"/>
  <c r="Q129" i="34"/>
  <c r="M130" i="34"/>
  <c r="L49" i="34" s="1"/>
  <c r="L50" i="34" s="1"/>
  <c r="K59" i="34"/>
  <c r="M58" i="34"/>
  <c r="L74" i="34"/>
  <c r="L47" i="34"/>
  <c r="L52" i="34"/>
  <c r="J80" i="34"/>
  <c r="Q133" i="34"/>
  <c r="M103" i="34"/>
  <c r="P134" i="34"/>
  <c r="O73" i="34" s="1"/>
  <c r="I85" i="34" l="1"/>
  <c r="N130" i="34"/>
  <c r="M49" i="34" s="1"/>
  <c r="M50" i="34" s="1"/>
  <c r="Q48" i="34"/>
  <c r="R129" i="34"/>
  <c r="R133" i="34"/>
  <c r="L59" i="34"/>
  <c r="K80" i="34"/>
  <c r="N58" i="34"/>
  <c r="M74" i="34"/>
  <c r="M52" i="34"/>
  <c r="M47" i="34"/>
  <c r="N103" i="34"/>
  <c r="Q134" i="34"/>
  <c r="P73" i="34" s="1"/>
  <c r="J85" i="34" l="1"/>
  <c r="R48" i="34"/>
  <c r="S129" i="34"/>
  <c r="N49" i="34"/>
  <c r="N50" i="34" s="1"/>
  <c r="O130" i="34"/>
  <c r="L80" i="34"/>
  <c r="O103" i="34"/>
  <c r="S133" i="34"/>
  <c r="S134" i="34" s="1"/>
  <c r="R73" i="34" s="1"/>
  <c r="R134" i="34"/>
  <c r="Q73" i="34" s="1"/>
  <c r="N74" i="34"/>
  <c r="N52" i="34"/>
  <c r="N47" i="34"/>
  <c r="O58" i="34"/>
  <c r="L85" i="34" l="1"/>
  <c r="K85" i="34"/>
  <c r="O49" i="34"/>
  <c r="O50" i="34" s="1"/>
  <c r="P130" i="34"/>
  <c r="S48" i="34"/>
  <c r="T129" i="34"/>
  <c r="O74" i="34"/>
  <c r="O52" i="34"/>
  <c r="O47" i="34"/>
  <c r="P58" i="34"/>
  <c r="P103" i="34"/>
  <c r="M59" i="34"/>
  <c r="N59" i="34"/>
  <c r="T133" i="34"/>
  <c r="T48" i="34" l="1"/>
  <c r="U129" i="34"/>
  <c r="P49" i="34"/>
  <c r="P50" i="34" s="1"/>
  <c r="Q130" i="34"/>
  <c r="N80" i="34"/>
  <c r="U133" i="34"/>
  <c r="U134" i="34" s="1"/>
  <c r="T73" i="34" s="1"/>
  <c r="M80" i="34"/>
  <c r="T134" i="34"/>
  <c r="S73" i="34" s="1"/>
  <c r="Q103" i="34"/>
  <c r="Q58" i="34"/>
  <c r="P47" i="34"/>
  <c r="P74" i="34"/>
  <c r="P52" i="34"/>
  <c r="O59" i="34"/>
  <c r="M85" i="34" l="1"/>
  <c r="N85" i="34"/>
  <c r="Q49" i="34"/>
  <c r="Q50" i="34" s="1"/>
  <c r="R130" i="34"/>
  <c r="U48" i="34"/>
  <c r="V129" i="34"/>
  <c r="O80" i="34"/>
  <c r="R103" i="34"/>
  <c r="P59" i="34"/>
  <c r="V133" i="34"/>
  <c r="V134" i="34" s="1"/>
  <c r="U73" i="34" s="1"/>
  <c r="R58" i="34"/>
  <c r="Q47" i="34"/>
  <c r="Q74" i="34"/>
  <c r="Q52" i="34"/>
  <c r="O85" i="34" l="1"/>
  <c r="V48" i="34"/>
  <c r="W129" i="34"/>
  <c r="R49" i="34"/>
  <c r="R50" i="34" s="1"/>
  <c r="S130" i="34"/>
  <c r="P80" i="34"/>
  <c r="S103" i="34"/>
  <c r="S58" i="34"/>
  <c r="R74" i="34"/>
  <c r="R52" i="34"/>
  <c r="R47" i="34"/>
  <c r="W133" i="34"/>
  <c r="W134" i="34" s="1"/>
  <c r="V73" i="34" s="1"/>
  <c r="Q59" i="34"/>
  <c r="P85" i="34" l="1"/>
  <c r="S49" i="34"/>
  <c r="S50" i="34" s="1"/>
  <c r="T130" i="34"/>
  <c r="W48" i="34"/>
  <c r="X129" i="34"/>
  <c r="Q80" i="34"/>
  <c r="S74" i="34"/>
  <c r="S52" i="34"/>
  <c r="S47" i="34"/>
  <c r="T58" i="34"/>
  <c r="T103" i="34"/>
  <c r="X133" i="34"/>
  <c r="X48" i="34" l="1"/>
  <c r="Y129" i="34"/>
  <c r="T49" i="34"/>
  <c r="T50" i="34" s="1"/>
  <c r="U130" i="34"/>
  <c r="R59" i="34"/>
  <c r="S59" i="34"/>
  <c r="Y133" i="34"/>
  <c r="Y134" i="34" s="1"/>
  <c r="X73" i="34" s="1"/>
  <c r="U58" i="34"/>
  <c r="T74" i="34"/>
  <c r="T47" i="34"/>
  <c r="T52" i="34"/>
  <c r="X134" i="34"/>
  <c r="W73" i="34" s="1"/>
  <c r="U103" i="34"/>
  <c r="Q85" i="34" l="1"/>
  <c r="R85" i="34"/>
  <c r="U49" i="34"/>
  <c r="U50" i="34" s="1"/>
  <c r="V130" i="34"/>
  <c r="Y48" i="34"/>
  <c r="Z129" i="34"/>
  <c r="R80" i="34"/>
  <c r="U52" i="34"/>
  <c r="U74" i="34"/>
  <c r="V58" i="34"/>
  <c r="U47" i="34"/>
  <c r="S80" i="34"/>
  <c r="V103" i="34"/>
  <c r="Z133" i="34"/>
  <c r="Z134" i="34" s="1"/>
  <c r="Y73" i="34" s="1"/>
  <c r="T59" i="34"/>
  <c r="S85" i="34" l="1"/>
  <c r="Z48" i="34"/>
  <c r="AA129" i="34"/>
  <c r="V49" i="34"/>
  <c r="V50" i="34" s="1"/>
  <c r="W130" i="34"/>
  <c r="T80" i="34"/>
  <c r="U59" i="34"/>
  <c r="W103" i="34"/>
  <c r="W58" i="34"/>
  <c r="V52" i="34"/>
  <c r="V47" i="34"/>
  <c r="V74" i="34"/>
  <c r="AA133" i="34"/>
  <c r="W49" i="34" l="1"/>
  <c r="W50" i="34" s="1"/>
  <c r="X130" i="34"/>
  <c r="AA48" i="34"/>
  <c r="AB129" i="34"/>
  <c r="U80" i="34"/>
  <c r="W74" i="34"/>
  <c r="X58" i="34"/>
  <c r="W52" i="34"/>
  <c r="W47" i="34"/>
  <c r="X103" i="34"/>
  <c r="AB133" i="34"/>
  <c r="AB134" i="34" s="1"/>
  <c r="AA73" i="34" s="1"/>
  <c r="AA134" i="34"/>
  <c r="Z73" i="34" s="1"/>
  <c r="V59" i="34"/>
  <c r="U85" i="34" l="1"/>
  <c r="T85" i="34"/>
  <c r="AB48" i="34"/>
  <c r="AC129" i="34"/>
  <c r="X49" i="34"/>
  <c r="X50" i="34" s="1"/>
  <c r="Y130" i="34"/>
  <c r="V80" i="34"/>
  <c r="Y58" i="34"/>
  <c r="X74" i="34"/>
  <c r="X47" i="34"/>
  <c r="X52" i="34"/>
  <c r="W59" i="34"/>
  <c r="Y103" i="34"/>
  <c r="AC133" i="34"/>
  <c r="AC134" i="34" s="1"/>
  <c r="AB73" i="34" s="1"/>
  <c r="V85" i="34" l="1"/>
  <c r="Y49" i="34"/>
  <c r="Y50" i="34" s="1"/>
  <c r="Z130" i="34"/>
  <c r="AC48" i="34"/>
  <c r="AD129" i="34"/>
  <c r="W80" i="34"/>
  <c r="Z103" i="34"/>
  <c r="AD133" i="34"/>
  <c r="X59" i="34"/>
  <c r="Y74" i="34"/>
  <c r="Y47" i="34"/>
  <c r="Z58" i="34"/>
  <c r="Y52" i="34"/>
  <c r="AD48" i="34" l="1"/>
  <c r="AE129" i="34"/>
  <c r="Z49" i="34"/>
  <c r="Z50" i="34" s="1"/>
  <c r="AA130" i="34"/>
  <c r="X80" i="34"/>
  <c r="AE133" i="34"/>
  <c r="Y59" i="34"/>
  <c r="AD134" i="34"/>
  <c r="AC73" i="34" s="1"/>
  <c r="AA103" i="34"/>
  <c r="Z52" i="34"/>
  <c r="Z47" i="34"/>
  <c r="AA58" i="34"/>
  <c r="Z74" i="34"/>
  <c r="W85" i="34" l="1"/>
  <c r="AA49" i="34"/>
  <c r="AA50" i="34" s="1"/>
  <c r="AB130" i="34"/>
  <c r="AE48" i="34"/>
  <c r="AF129" i="34"/>
  <c r="Z59" i="34"/>
  <c r="AB103" i="34"/>
  <c r="Y80" i="34"/>
  <c r="AF133" i="34"/>
  <c r="AF134" i="34" s="1"/>
  <c r="AE73" i="34" s="1"/>
  <c r="AE134" i="34"/>
  <c r="AD73" i="34" s="1"/>
  <c r="AA74" i="34"/>
  <c r="AA52" i="34"/>
  <c r="AA47" i="34"/>
  <c r="AB58" i="34"/>
  <c r="X85" i="34" l="1"/>
  <c r="Y85" i="34"/>
  <c r="AF48" i="34"/>
  <c r="AG129" i="34"/>
  <c r="AH129" i="34" s="1"/>
  <c r="AB49" i="34"/>
  <c r="AB50" i="34" s="1"/>
  <c r="AC130" i="34"/>
  <c r="Z80" i="34"/>
  <c r="AC58" i="34"/>
  <c r="AB47" i="34"/>
  <c r="AB52" i="34"/>
  <c r="AB74" i="34"/>
  <c r="AG133" i="34"/>
  <c r="AA59" i="34"/>
  <c r="AC103" i="34"/>
  <c r="AH133" i="34" l="1"/>
  <c r="AH134" i="34"/>
  <c r="AG73" i="34" s="1"/>
  <c r="AC49" i="34"/>
  <c r="AC50" i="34" s="1"/>
  <c r="AD130" i="34"/>
  <c r="AG48" i="34"/>
  <c r="AA80" i="34"/>
  <c r="AD103" i="34"/>
  <c r="AD58" i="34"/>
  <c r="AC74" i="34"/>
  <c r="AC52" i="34"/>
  <c r="AC47" i="34"/>
  <c r="AB59" i="34"/>
  <c r="AG134" i="34"/>
  <c r="AF73" i="34" s="1"/>
  <c r="Z85" i="34" l="1"/>
  <c r="AD49" i="34"/>
  <c r="AD50" i="34" s="1"/>
  <c r="AE130" i="34"/>
  <c r="AB80" i="34"/>
  <c r="AD74" i="34"/>
  <c r="AD52" i="34"/>
  <c r="AD47" i="34"/>
  <c r="AE58" i="34"/>
  <c r="AE103" i="34"/>
  <c r="AC59" i="34"/>
  <c r="AA85" i="34" l="1"/>
  <c r="AE49" i="34"/>
  <c r="AE50" i="34" s="1"/>
  <c r="AF130" i="34"/>
  <c r="AC80" i="34"/>
  <c r="AD59" i="34"/>
  <c r="AE74" i="34"/>
  <c r="AE52" i="34"/>
  <c r="AE47" i="34"/>
  <c r="AF58" i="34"/>
  <c r="AF103" i="34"/>
  <c r="AB85" i="34" l="1"/>
  <c r="AF49" i="34"/>
  <c r="AF50" i="34" s="1"/>
  <c r="AG130" i="34"/>
  <c r="AH130" i="34" s="1"/>
  <c r="AG58" i="34"/>
  <c r="AF74" i="34"/>
  <c r="AF47" i="34"/>
  <c r="AF52" i="34"/>
  <c r="AD80" i="34"/>
  <c r="AE59" i="34"/>
  <c r="AG103" i="34"/>
  <c r="AC85" i="34" l="1"/>
  <c r="AD85" i="34"/>
  <c r="AG49" i="34"/>
  <c r="AG50" i="34" s="1"/>
  <c r="AE80" i="34"/>
  <c r="AG74" i="34"/>
  <c r="AG47" i="34"/>
  <c r="AG52" i="34"/>
  <c r="AE85" i="34" l="1"/>
  <c r="AF59" i="34"/>
  <c r="AG59" i="34"/>
  <c r="AF80" i="34" l="1"/>
  <c r="AG80" i="34"/>
  <c r="AF85" i="34" l="1"/>
  <c r="AG85" i="34" l="1"/>
  <c r="B54" i="34" l="1"/>
  <c r="C60" i="34" l="1"/>
  <c r="C66" i="34" s="1"/>
  <c r="C68" i="34" s="1"/>
  <c r="D61" i="34"/>
  <c r="E61" i="34"/>
  <c r="E60" i="34" s="1"/>
  <c r="E66" i="34" s="1"/>
  <c r="F61" i="34"/>
  <c r="F60" i="34" s="1"/>
  <c r="F66" i="34" s="1"/>
  <c r="F68" i="34" s="1"/>
  <c r="G61" i="34"/>
  <c r="G60" i="34" s="1"/>
  <c r="G66" i="34" s="1"/>
  <c r="H61" i="34"/>
  <c r="H60" i="34" s="1"/>
  <c r="H66" i="34" s="1"/>
  <c r="I60" i="34"/>
  <c r="I66" i="34" s="1"/>
  <c r="J60" i="34"/>
  <c r="J66" i="34" s="1"/>
  <c r="K60" i="34"/>
  <c r="K66" i="34" s="1"/>
  <c r="L60" i="34"/>
  <c r="L66" i="34" s="1"/>
  <c r="M60" i="34"/>
  <c r="M66" i="34" s="1"/>
  <c r="N61" i="34"/>
  <c r="N60" i="34" s="1"/>
  <c r="N66" i="34" s="1"/>
  <c r="O60" i="34"/>
  <c r="O66" i="34" s="1"/>
  <c r="P60" i="34"/>
  <c r="P66" i="34" s="1"/>
  <c r="Q60" i="34"/>
  <c r="Q66" i="34" s="1"/>
  <c r="R60" i="34"/>
  <c r="R66" i="34" s="1"/>
  <c r="S60" i="34"/>
  <c r="S66" i="34" s="1"/>
  <c r="T61" i="34"/>
  <c r="T60" i="34" s="1"/>
  <c r="T66" i="34" s="1"/>
  <c r="U60" i="34"/>
  <c r="U66" i="34" s="1"/>
  <c r="V60" i="34"/>
  <c r="V66" i="34" s="1"/>
  <c r="W60" i="34"/>
  <c r="W66" i="34" s="1"/>
  <c r="X60" i="34"/>
  <c r="X66" i="34" s="1"/>
  <c r="Y60" i="34"/>
  <c r="Y66" i="34" s="1"/>
  <c r="Z61" i="34"/>
  <c r="Z60" i="34" s="1"/>
  <c r="Z66" i="34" s="1"/>
  <c r="AA60" i="34"/>
  <c r="AA66" i="34" s="1"/>
  <c r="AB60" i="34"/>
  <c r="AB66" i="34" s="1"/>
  <c r="AC60" i="34"/>
  <c r="AC66" i="34" s="1"/>
  <c r="AD60" i="34"/>
  <c r="AD66" i="34" s="1"/>
  <c r="AE60" i="34"/>
  <c r="AE66" i="34" s="1"/>
  <c r="AF61" i="34"/>
  <c r="AF60" i="34" s="1"/>
  <c r="AF66" i="34" s="1"/>
  <c r="AG61" i="34"/>
  <c r="AG60" i="34" s="1"/>
  <c r="AG66" i="34" s="1"/>
  <c r="B55" i="34"/>
  <c r="B56" i="34" s="1"/>
  <c r="B69" i="34" s="1"/>
  <c r="C76" i="34"/>
  <c r="B95" i="27" l="1"/>
  <c r="B85" i="27"/>
  <c r="B87" i="27"/>
  <c r="D60" i="34"/>
  <c r="D66" i="34" s="1"/>
  <c r="D68" i="34" s="1"/>
  <c r="F75" i="34"/>
  <c r="C53" i="34"/>
  <c r="B77" i="34"/>
  <c r="B70" i="34"/>
  <c r="B71" i="34" s="1"/>
  <c r="E67" i="34"/>
  <c r="E68" i="34" s="1"/>
  <c r="B82" i="34"/>
  <c r="C75" i="34"/>
  <c r="B68" i="27"/>
  <c r="B93" i="27"/>
  <c r="AD35" i="5"/>
  <c r="B29" i="27" s="1"/>
  <c r="A15" i="10"/>
  <c r="A12" i="10"/>
  <c r="A9" i="10"/>
  <c r="A5" i="10"/>
  <c r="B49" i="27"/>
  <c r="B32" i="27"/>
  <c r="E75" i="34" l="1"/>
  <c r="F67" i="34"/>
  <c r="F76" i="34" s="1"/>
  <c r="E76" i="34"/>
  <c r="D75" i="34"/>
  <c r="B72" i="34"/>
  <c r="B78" i="34"/>
  <c r="C55" i="34"/>
  <c r="B66" i="27"/>
  <c r="B30" i="27" s="1"/>
  <c r="B83" i="27" s="1"/>
  <c r="B46" i="27"/>
  <c r="B72" i="27"/>
  <c r="B22" i="27"/>
  <c r="G67" i="34" l="1"/>
  <c r="D53" i="34"/>
  <c r="C82" i="34"/>
  <c r="C56" i="34"/>
  <c r="C69" i="34" s="1"/>
  <c r="B42" i="27"/>
  <c r="B59" i="27"/>
  <c r="B80" i="27"/>
  <c r="B51" i="27"/>
  <c r="B55" i="27"/>
  <c r="B38" i="27"/>
  <c r="B63" i="27"/>
  <c r="B76" i="27"/>
  <c r="C77" i="34" l="1"/>
  <c r="C70" i="34"/>
  <c r="D55" i="34"/>
  <c r="D82" i="34" s="1"/>
  <c r="H67" i="34"/>
  <c r="G76" i="34"/>
  <c r="G68" i="34"/>
  <c r="A12" i="6"/>
  <c r="D56" i="34" l="1"/>
  <c r="D69" i="34" s="1"/>
  <c r="D77" i="34" s="1"/>
  <c r="G75" i="34"/>
  <c r="I67" i="34"/>
  <c r="H76" i="34"/>
  <c r="H68" i="34"/>
  <c r="C71" i="34"/>
  <c r="E53" i="34"/>
  <c r="A15" i="16"/>
  <c r="D70" i="34" l="1"/>
  <c r="D71" i="34" s="1"/>
  <c r="D72" i="34" s="1"/>
  <c r="E55" i="34"/>
  <c r="E82" i="34" s="1"/>
  <c r="C78" i="34"/>
  <c r="I76" i="34"/>
  <c r="J67" i="34"/>
  <c r="I68" i="34"/>
  <c r="C72" i="34"/>
  <c r="H75" i="34"/>
  <c r="A15" i="27"/>
  <c r="B21" i="27" s="1"/>
  <c r="D78" i="34" l="1"/>
  <c r="K67" i="34"/>
  <c r="J76" i="34"/>
  <c r="J68" i="34"/>
  <c r="E56" i="34"/>
  <c r="E69" i="34" s="1"/>
  <c r="I75" i="34"/>
  <c r="F53" i="34"/>
  <c r="A5" i="27"/>
  <c r="E77" i="34" l="1"/>
  <c r="E70" i="34"/>
  <c r="E71" i="34" s="1"/>
  <c r="F55" i="34"/>
  <c r="F56" i="34" s="1"/>
  <c r="F69" i="34" s="1"/>
  <c r="J75" i="34"/>
  <c r="L67" i="34"/>
  <c r="K76" i="34"/>
  <c r="K68" i="34"/>
  <c r="A12" i="27"/>
  <c r="A9" i="27"/>
  <c r="F77" i="34" l="1"/>
  <c r="F70" i="34"/>
  <c r="M67" i="34"/>
  <c r="L76" i="34"/>
  <c r="L68" i="34"/>
  <c r="G53" i="34"/>
  <c r="F82" i="34"/>
  <c r="E72" i="34"/>
  <c r="E78" i="34"/>
  <c r="K75" i="34"/>
  <c r="S23" i="12"/>
  <c r="J23" i="12"/>
  <c r="H23" i="12"/>
  <c r="M76" i="34" l="1"/>
  <c r="N67" i="34"/>
  <c r="M68" i="34"/>
  <c r="F71" i="34"/>
  <c r="G55" i="34"/>
  <c r="G82" i="34" s="1"/>
  <c r="L75" i="34"/>
  <c r="A12" i="16"/>
  <c r="A9" i="16"/>
  <c r="A5" i="16"/>
  <c r="A15" i="5"/>
  <c r="A12" i="5"/>
  <c r="A9" i="5"/>
  <c r="A5" i="5"/>
  <c r="A15" i="6"/>
  <c r="A9" i="6"/>
  <c r="A5" i="6"/>
  <c r="A14" i="12"/>
  <c r="A11" i="12"/>
  <c r="A8" i="12"/>
  <c r="G56" i="34" l="1"/>
  <c r="G69" i="34" s="1"/>
  <c r="F78" i="34"/>
  <c r="H53" i="34"/>
  <c r="M75" i="34"/>
  <c r="O67" i="34"/>
  <c r="N76" i="34"/>
  <c r="N68" i="34"/>
  <c r="F72" i="3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P67" i="34" l="1"/>
  <c r="O76" i="34"/>
  <c r="O68" i="34"/>
  <c r="N75" i="34"/>
  <c r="H55" i="34"/>
  <c r="G77" i="34"/>
  <c r="G70" i="34"/>
  <c r="G71" i="34" l="1"/>
  <c r="G72" i="34" s="1"/>
  <c r="O75" i="34"/>
  <c r="I53" i="34"/>
  <c r="H82" i="34"/>
  <c r="H56" i="34"/>
  <c r="H69" i="34" s="1"/>
  <c r="P76" i="34"/>
  <c r="Q67" i="34"/>
  <c r="P68" i="34"/>
  <c r="R67" i="34" l="1"/>
  <c r="Q76" i="34"/>
  <c r="Q68" i="34"/>
  <c r="I55" i="34"/>
  <c r="I56" i="34" s="1"/>
  <c r="I69" i="34" s="1"/>
  <c r="H77" i="34"/>
  <c r="H70" i="34"/>
  <c r="H71" i="34" s="1"/>
  <c r="H72" i="34" s="1"/>
  <c r="G78" i="34"/>
  <c r="P75" i="34"/>
  <c r="I77" i="34" l="1"/>
  <c r="I70" i="34"/>
  <c r="H78" i="34"/>
  <c r="S67" i="34"/>
  <c r="R76" i="34"/>
  <c r="R68" i="34"/>
  <c r="Q75" i="34"/>
  <c r="J53" i="34"/>
  <c r="I82" i="34"/>
  <c r="S76" i="34" l="1"/>
  <c r="T67" i="34"/>
  <c r="S68" i="34"/>
  <c r="I71" i="34"/>
  <c r="I78" i="34" s="1"/>
  <c r="R75" i="34"/>
  <c r="J55" i="34"/>
  <c r="I72" i="34" l="1"/>
  <c r="S75" i="34"/>
  <c r="K53" i="34"/>
  <c r="J82" i="34"/>
  <c r="J56" i="34"/>
  <c r="J69" i="34" s="1"/>
  <c r="T76" i="34"/>
  <c r="U67" i="34"/>
  <c r="T68" i="34"/>
  <c r="T75" i="34" l="1"/>
  <c r="V67" i="34"/>
  <c r="U76" i="34"/>
  <c r="U68" i="34"/>
  <c r="J77" i="34"/>
  <c r="J70" i="34"/>
  <c r="J71" i="34" s="1"/>
  <c r="K55" i="34"/>
  <c r="L53" i="34" l="1"/>
  <c r="K82" i="34"/>
  <c r="J72" i="34"/>
  <c r="J78" i="34"/>
  <c r="V76" i="34"/>
  <c r="W67" i="34"/>
  <c r="V68" i="34"/>
  <c r="K56" i="34"/>
  <c r="K69" i="34" s="1"/>
  <c r="U75" i="34"/>
  <c r="W76" i="34" l="1"/>
  <c r="X67" i="34"/>
  <c r="W68" i="34"/>
  <c r="K77" i="34"/>
  <c r="K70" i="34"/>
  <c r="L55" i="34"/>
  <c r="L82" i="34" s="1"/>
  <c r="V75" i="34"/>
  <c r="L56" i="34" l="1"/>
  <c r="L69" i="34" s="1"/>
  <c r="L77" i="34" s="1"/>
  <c r="M53" i="34"/>
  <c r="M55" i="34" s="1"/>
  <c r="Y67" i="34"/>
  <c r="X76" i="34"/>
  <c r="X68" i="34"/>
  <c r="K71" i="34"/>
  <c r="K78" i="34" s="1"/>
  <c r="W75" i="34"/>
  <c r="M56" i="34" l="1"/>
  <c r="M69" i="34" s="1"/>
  <c r="M70" i="34" s="1"/>
  <c r="L70" i="34"/>
  <c r="L71" i="34" s="1"/>
  <c r="L78" i="34" s="1"/>
  <c r="K72" i="34"/>
  <c r="X75" i="34"/>
  <c r="N53" i="34"/>
  <c r="M82" i="34"/>
  <c r="Y76" i="34"/>
  <c r="Z67" i="34"/>
  <c r="Y68" i="34"/>
  <c r="M77" i="34" l="1"/>
  <c r="L72" i="34"/>
  <c r="M71" i="34"/>
  <c r="M78" i="34" s="1"/>
  <c r="N55" i="34"/>
  <c r="N56" i="34" s="1"/>
  <c r="N69" i="34" s="1"/>
  <c r="Y75" i="34"/>
  <c r="AA67" i="34"/>
  <c r="Z76" i="34"/>
  <c r="Z68" i="34"/>
  <c r="N77" i="34" l="1"/>
  <c r="N70" i="34"/>
  <c r="AB67" i="34"/>
  <c r="AA76" i="34"/>
  <c r="AA68" i="34"/>
  <c r="O53" i="34"/>
  <c r="N82" i="34"/>
  <c r="Z75" i="34"/>
  <c r="M72" i="34"/>
  <c r="AA75" i="34" l="1"/>
  <c r="O55" i="34"/>
  <c r="O56" i="34" s="1"/>
  <c r="O69" i="34" s="1"/>
  <c r="AC67" i="34"/>
  <c r="AB76" i="34"/>
  <c r="AB68" i="34"/>
  <c r="N71" i="34"/>
  <c r="N78" i="34" s="1"/>
  <c r="N72" i="34" l="1"/>
  <c r="AD67" i="34"/>
  <c r="AC76" i="34"/>
  <c r="AC68" i="34"/>
  <c r="O77" i="34"/>
  <c r="O70" i="34"/>
  <c r="AB75" i="34"/>
  <c r="P53" i="34"/>
  <c r="O82" i="34"/>
  <c r="P55" i="34" l="1"/>
  <c r="P82" i="34" s="1"/>
  <c r="AC75" i="34"/>
  <c r="O71" i="34"/>
  <c r="O78" i="34" s="1"/>
  <c r="AD76" i="34"/>
  <c r="AE67" i="34"/>
  <c r="AD68" i="34"/>
  <c r="AD75" i="34" l="1"/>
  <c r="AF67" i="34"/>
  <c r="AE76" i="34"/>
  <c r="AE68" i="34"/>
  <c r="P56" i="34"/>
  <c r="P69" i="34" s="1"/>
  <c r="O72" i="34"/>
  <c r="Q53" i="34"/>
  <c r="AF76" i="34" l="1"/>
  <c r="AG67" i="34"/>
  <c r="AF68" i="34"/>
  <c r="Q55" i="34"/>
  <c r="Q82" i="34" s="1"/>
  <c r="AE75" i="34"/>
  <c r="P77" i="34"/>
  <c r="P70" i="34"/>
  <c r="R53" i="34" l="1"/>
  <c r="R55" i="34" s="1"/>
  <c r="P71" i="34"/>
  <c r="P78" i="34" s="1"/>
  <c r="Q56" i="34"/>
  <c r="Q69" i="34" s="1"/>
  <c r="AF75" i="34"/>
  <c r="AG76" i="34"/>
  <c r="AG68" i="34"/>
  <c r="R82" i="34" l="1"/>
  <c r="R56" i="34"/>
  <c r="R69" i="34" s="1"/>
  <c r="R77" i="34" s="1"/>
  <c r="P72" i="34"/>
  <c r="S53" i="34"/>
  <c r="S55" i="34" s="1"/>
  <c r="AG75" i="34"/>
  <c r="Q77" i="34"/>
  <c r="Q70" i="34"/>
  <c r="S56" i="34" l="1"/>
  <c r="S69" i="34" s="1"/>
  <c r="S77" i="34" s="1"/>
  <c r="R70" i="34"/>
  <c r="R71" i="34" s="1"/>
  <c r="Q71" i="34"/>
  <c r="Q78" i="34" s="1"/>
  <c r="T53" i="34"/>
  <c r="S82" i="34"/>
  <c r="S70" i="34" l="1"/>
  <c r="S71" i="34" s="1"/>
  <c r="R78" i="34"/>
  <c r="T55" i="34"/>
  <c r="T56" i="34" s="1"/>
  <c r="T69" i="34" s="1"/>
  <c r="Q72" i="34"/>
  <c r="R72" i="34"/>
  <c r="S78" i="34" l="1"/>
  <c r="S72" i="34"/>
  <c r="T77" i="34"/>
  <c r="T70" i="34"/>
  <c r="U53" i="34"/>
  <c r="T82" i="34"/>
  <c r="T71" i="34" l="1"/>
  <c r="T78" i="34" s="1"/>
  <c r="U55" i="34"/>
  <c r="T72" i="34" l="1"/>
  <c r="V53" i="34"/>
  <c r="U82" i="34"/>
  <c r="U56" i="34"/>
  <c r="U69" i="34" s="1"/>
  <c r="V55" i="34" l="1"/>
  <c r="V82" i="34" s="1"/>
  <c r="U77" i="34"/>
  <c r="U70" i="34"/>
  <c r="V56" i="34" l="1"/>
  <c r="V69" i="34" s="1"/>
  <c r="V77" i="34" s="1"/>
  <c r="W53" i="34"/>
  <c r="W55" i="34" s="1"/>
  <c r="U71" i="34"/>
  <c r="U78" i="34" s="1"/>
  <c r="V70" i="34" l="1"/>
  <c r="V71" i="34" s="1"/>
  <c r="V78" i="34" s="1"/>
  <c r="U72" i="34"/>
  <c r="W82" i="34"/>
  <c r="W56" i="34"/>
  <c r="W69" i="34" s="1"/>
  <c r="W77" i="34" s="1"/>
  <c r="X53" i="34"/>
  <c r="X55" i="34" s="1"/>
  <c r="X82" i="34" s="1"/>
  <c r="V72" i="34" l="1"/>
  <c r="W70" i="34"/>
  <c r="W71" i="34" s="1"/>
  <c r="W78" i="34" s="1"/>
  <c r="X56" i="34"/>
  <c r="X69" i="34" s="1"/>
  <c r="Y53" i="34"/>
  <c r="W72" i="34" l="1"/>
  <c r="Y55" i="34"/>
  <c r="Y56" i="34" s="1"/>
  <c r="Y69" i="34" s="1"/>
  <c r="X77" i="34"/>
  <c r="X70" i="34"/>
  <c r="X71" i="34" l="1"/>
  <c r="X78" i="34" s="1"/>
  <c r="Z53" i="34"/>
  <c r="Y82" i="34"/>
  <c r="Y77" i="34"/>
  <c r="Y70" i="34"/>
  <c r="X72" i="34" l="1"/>
  <c r="Y71" i="34"/>
  <c r="Y78" i="34" s="1"/>
  <c r="Z55" i="34"/>
  <c r="Z82" i="34" s="1"/>
  <c r="Y72" i="34" l="1"/>
  <c r="Z56" i="34"/>
  <c r="Z69" i="34" s="1"/>
  <c r="Z70" i="34" s="1"/>
  <c r="AA53" i="34"/>
  <c r="Z77" i="34" l="1"/>
  <c r="AA55" i="34"/>
  <c r="AA82" i="34" s="1"/>
  <c r="Z71" i="34"/>
  <c r="Z78" i="34" s="1"/>
  <c r="AA56" i="34" l="1"/>
  <c r="AA69" i="34" s="1"/>
  <c r="AA77" i="34" s="1"/>
  <c r="AB53" i="34"/>
  <c r="Z72" i="34"/>
  <c r="AA70" i="34" l="1"/>
  <c r="AA71" i="34" s="1"/>
  <c r="AA78" i="34" s="1"/>
  <c r="AB55" i="34"/>
  <c r="AB82" i="34" s="1"/>
  <c r="AA72" i="34" l="1"/>
  <c r="AB56" i="34"/>
  <c r="AB69" i="34" s="1"/>
  <c r="AC53" i="34"/>
  <c r="AC55" i="34" l="1"/>
  <c r="AC82" i="34" s="1"/>
  <c r="AB77" i="34"/>
  <c r="AB70" i="34"/>
  <c r="AB71" i="34" s="1"/>
  <c r="AB78" i="34" s="1"/>
  <c r="AD53" i="34" l="1"/>
  <c r="AD55" i="34" s="1"/>
  <c r="AD82" i="34" s="1"/>
  <c r="AB72" i="34"/>
  <c r="AC56" i="34"/>
  <c r="AC69" i="34" s="1"/>
  <c r="AE53" i="34" l="1"/>
  <c r="AE55" i="34" s="1"/>
  <c r="AE82" i="34" s="1"/>
  <c r="AD56" i="34"/>
  <c r="AD69" i="34" s="1"/>
  <c r="AD70" i="34" s="1"/>
  <c r="AD71" i="34" s="1"/>
  <c r="AD72" i="34" s="1"/>
  <c r="AC77" i="34"/>
  <c r="AC70" i="34"/>
  <c r="AC71" i="34" s="1"/>
  <c r="AC78" i="34" s="1"/>
  <c r="AE56" i="34"/>
  <c r="AE69" i="34" s="1"/>
  <c r="AD78" i="34" l="1"/>
  <c r="AF53" i="34"/>
  <c r="AF55" i="34" s="1"/>
  <c r="AD77" i="34"/>
  <c r="AC72" i="34"/>
  <c r="AE77" i="34"/>
  <c r="AE70" i="34"/>
  <c r="AG53" i="34" l="1"/>
  <c r="AF82" i="34"/>
  <c r="AE71" i="34"/>
  <c r="AE78" i="34" s="1"/>
  <c r="AF56" i="34"/>
  <c r="AF69" i="34" s="1"/>
  <c r="AE72" i="34" l="1"/>
  <c r="AF77" i="34"/>
  <c r="AF70" i="34"/>
  <c r="AG55" i="34"/>
  <c r="AG82" i="34" s="1"/>
  <c r="AF71" i="34" l="1"/>
  <c r="AF78" i="34" s="1"/>
  <c r="AG56" i="34"/>
  <c r="AG69" i="34" s="1"/>
  <c r="AG77" i="34" l="1"/>
  <c r="AG70" i="34"/>
  <c r="AF72" i="34"/>
  <c r="AG71" i="34" l="1"/>
  <c r="AG78" i="34" s="1"/>
  <c r="AG72" i="34" l="1"/>
  <c r="C83" i="34" l="1"/>
  <c r="C86" i="34" s="1"/>
  <c r="B83" i="34"/>
  <c r="B84" i="34" s="1"/>
  <c r="B89" i="34" s="1"/>
  <c r="E83" i="34" l="1"/>
  <c r="E86" i="34" s="1"/>
  <c r="B86" i="34"/>
  <c r="C84" i="34"/>
  <c r="C89" i="34" s="1"/>
  <c r="C88" i="34"/>
  <c r="B88" i="34"/>
  <c r="D83" i="34" l="1"/>
  <c r="D84" i="34" s="1"/>
  <c r="D89" i="34" s="1"/>
  <c r="F83" i="34"/>
  <c r="F86" i="34" s="1"/>
  <c r="B87" i="34"/>
  <c r="B90" i="34" s="1"/>
  <c r="C87" i="34"/>
  <c r="F84" i="34" l="1"/>
  <c r="E84" i="34"/>
  <c r="E89" i="34" s="1"/>
  <c r="C90" i="34"/>
  <c r="D86" i="34"/>
  <c r="F87" i="34" s="1"/>
  <c r="F88" i="34"/>
  <c r="E88" i="34"/>
  <c r="G83" i="34"/>
  <c r="G84" i="34" s="1"/>
  <c r="D88" i="34"/>
  <c r="G89" i="34" l="1"/>
  <c r="F89" i="34"/>
  <c r="E87" i="34"/>
  <c r="D87" i="34"/>
  <c r="D90" i="34" s="1"/>
  <c r="G86" i="34"/>
  <c r="G87" i="34" s="1"/>
  <c r="G90" i="34" s="1"/>
  <c r="H83" i="34"/>
  <c r="H86" i="34" s="1"/>
  <c r="G88" i="34"/>
  <c r="H87" i="34" l="1"/>
  <c r="H90" i="34" s="1"/>
  <c r="J83" i="34"/>
  <c r="J86" i="34" s="1"/>
  <c r="E90" i="34"/>
  <c r="F90" i="34"/>
  <c r="H84" i="34"/>
  <c r="H89" i="34" s="1"/>
  <c r="H88" i="34"/>
  <c r="I83" i="34" l="1"/>
  <c r="I84" i="34" s="1"/>
  <c r="I89" i="34" s="1"/>
  <c r="K83" i="34"/>
  <c r="K86" i="34" s="1"/>
  <c r="J88" i="34" l="1"/>
  <c r="I88" i="34"/>
  <c r="K84" i="34"/>
  <c r="K88" i="34"/>
  <c r="M83" i="34"/>
  <c r="M86" i="34" s="1"/>
  <c r="I86" i="34"/>
  <c r="J84" i="34"/>
  <c r="K89" i="34" s="1"/>
  <c r="O83" i="34" l="1"/>
  <c r="O86" i="34" s="1"/>
  <c r="L83" i="34"/>
  <c r="L88" i="34" s="1"/>
  <c r="M88" i="34"/>
  <c r="M84" i="34"/>
  <c r="J89" i="34"/>
  <c r="I87" i="34"/>
  <c r="I90" i="34" s="1"/>
  <c r="J87" i="34"/>
  <c r="K87" i="34"/>
  <c r="P83" i="34"/>
  <c r="P86" i="34" s="1"/>
  <c r="L84" i="34" l="1"/>
  <c r="L89" i="34" s="1"/>
  <c r="G28" i="34" s="1"/>
  <c r="N83" i="34"/>
  <c r="O88" i="34" s="1"/>
  <c r="L86" i="34"/>
  <c r="K90" i="34"/>
  <c r="R83" i="34"/>
  <c r="J90" i="34"/>
  <c r="N86" i="34"/>
  <c r="N84" i="34" l="1"/>
  <c r="N89" i="34" s="1"/>
  <c r="M89" i="34"/>
  <c r="N88" i="34"/>
  <c r="P84" i="34"/>
  <c r="P88" i="34"/>
  <c r="O84" i="34"/>
  <c r="O89" i="34" s="1"/>
  <c r="L87" i="34"/>
  <c r="M87" i="34"/>
  <c r="S83" i="34"/>
  <c r="Q83" i="34"/>
  <c r="Q88" i="34" s="1"/>
  <c r="N87" i="34"/>
  <c r="N90" i="34" s="1"/>
  <c r="P87" i="34"/>
  <c r="O87" i="34"/>
  <c r="R86" i="34"/>
  <c r="G30" i="34" l="1"/>
  <c r="L90" i="34"/>
  <c r="G29" i="34" s="1"/>
  <c r="R88" i="34"/>
  <c r="M90" i="34"/>
  <c r="P89" i="34"/>
  <c r="T83" i="34"/>
  <c r="Q86" i="34"/>
  <c r="Q87" i="34" s="1"/>
  <c r="Q90" i="34" s="1"/>
  <c r="R84" i="34"/>
  <c r="Q84" i="34"/>
  <c r="Q89" i="34" s="1"/>
  <c r="O90" i="34"/>
  <c r="P90" i="34"/>
  <c r="S86" i="34"/>
  <c r="S88" i="34"/>
  <c r="S84" i="34"/>
  <c r="S87" i="34" l="1"/>
  <c r="U83" i="34"/>
  <c r="S89" i="34"/>
  <c r="R87" i="34"/>
  <c r="R90" i="34" s="1"/>
  <c r="R89" i="34"/>
  <c r="T86" i="34"/>
  <c r="T87" i="34" s="1"/>
  <c r="T84" i="34"/>
  <c r="T89" i="34" s="1"/>
  <c r="T88" i="34"/>
  <c r="T90" i="34" l="1"/>
  <c r="S90" i="34"/>
  <c r="V83" i="34"/>
  <c r="U86" i="34"/>
  <c r="U87" i="34" s="1"/>
  <c r="U90" i="34" s="1"/>
  <c r="U88" i="34"/>
  <c r="U84" i="34"/>
  <c r="U89" i="34" s="1"/>
  <c r="W83" i="34" l="1"/>
  <c r="V86" i="34"/>
  <c r="V87" i="34" s="1"/>
  <c r="V90" i="34" s="1"/>
  <c r="V84" i="34"/>
  <c r="V89" i="34" s="1"/>
  <c r="V88" i="34"/>
  <c r="X83" i="34" l="1"/>
  <c r="W86" i="34"/>
  <c r="W87" i="34" s="1"/>
  <c r="W90" i="34" s="1"/>
  <c r="W84" i="34"/>
  <c r="W89" i="34" s="1"/>
  <c r="W88" i="34"/>
  <c r="Y83" i="34" l="1"/>
  <c r="X86" i="34"/>
  <c r="X87" i="34" s="1"/>
  <c r="X90" i="34" s="1"/>
  <c r="X88" i="34"/>
  <c r="X84" i="34"/>
  <c r="X89" i="34" s="1"/>
  <c r="Z83" i="34" l="1"/>
  <c r="Y86" i="34"/>
  <c r="Y87" i="34" s="1"/>
  <c r="Y90" i="34" s="1"/>
  <c r="Y84" i="34"/>
  <c r="Y89" i="34" s="1"/>
  <c r="Y88" i="34"/>
  <c r="Z86" i="34" l="1"/>
  <c r="Z87" i="34" s="1"/>
  <c r="Z90" i="34" s="1"/>
  <c r="Z88" i="34"/>
  <c r="Z84" i="34"/>
  <c r="Z89" i="34" s="1"/>
  <c r="AA83" i="34"/>
  <c r="AA86" i="34" l="1"/>
  <c r="AA87" i="34" s="1"/>
  <c r="AA90" i="34" s="1"/>
  <c r="AA84" i="34"/>
  <c r="AA89" i="34" s="1"/>
  <c r="AA88" i="34"/>
  <c r="AB83" i="34"/>
  <c r="AC83" i="34" l="1"/>
  <c r="AB86" i="34"/>
  <c r="AB87" i="34" s="1"/>
  <c r="AB90" i="34" s="1"/>
  <c r="AB84" i="34"/>
  <c r="AB89" i="34" s="1"/>
  <c r="AB88" i="34"/>
  <c r="AD83" i="34" l="1"/>
  <c r="AC86" i="34"/>
  <c r="AC87" i="34" s="1"/>
  <c r="AC90" i="34" s="1"/>
  <c r="AC84" i="34"/>
  <c r="AC89" i="34" s="1"/>
  <c r="AC88" i="34"/>
  <c r="AE83" i="34" l="1"/>
  <c r="AD86" i="34"/>
  <c r="AD87" i="34" s="1"/>
  <c r="AD90" i="34" s="1"/>
  <c r="AD88" i="34"/>
  <c r="AD84" i="34"/>
  <c r="AD89" i="34" s="1"/>
  <c r="AF83" i="34" l="1"/>
  <c r="AG83" i="34"/>
  <c r="AE86" i="34"/>
  <c r="AE87" i="34" s="1"/>
  <c r="AE90" i="34" s="1"/>
  <c r="AE84" i="34"/>
  <c r="AE89" i="34" s="1"/>
  <c r="AE88" i="34"/>
  <c r="AF86" i="34" l="1"/>
  <c r="AF87" i="34" s="1"/>
  <c r="AF90" i="34" s="1"/>
  <c r="AF88" i="34"/>
  <c r="AF84" i="34"/>
  <c r="AF89" i="34" s="1"/>
  <c r="AG86" i="34"/>
  <c r="AG84" i="34"/>
  <c r="AG88" i="34"/>
  <c r="AG87" i="34" l="1"/>
  <c r="AG90" i="34" s="1"/>
  <c r="AG89" i="34"/>
</calcChain>
</file>

<file path=xl/sharedStrings.xml><?xml version="1.0" encoding="utf-8"?>
<sst xmlns="http://schemas.openxmlformats.org/spreadsheetml/2006/main" count="1273" uniqueCount="654">
  <si>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</si>
  <si>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</si>
  <si>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</si>
  <si>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</si>
  <si>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</si>
  <si>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</si>
  <si>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</si>
  <si>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</si>
  <si>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</si>
  <si>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</si>
  <si>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</si>
  <si>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</si>
  <si>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</si>
  <si>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</si>
  <si>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</si>
  <si>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</si>
  <si>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</si>
  <si>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</si>
  <si>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</si>
  <si>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</si>
  <si>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</si>
  <si>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</si>
  <si>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</si>
  <si>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</si>
  <si>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</si>
  <si>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</si>
  <si>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</si>
  <si>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</si>
  <si>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</si>
  <si>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</si>
  <si>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</si>
  <si>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</si>
  <si>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</si>
  <si>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</si>
  <si>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</si>
  <si>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</si>
  <si>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</si>
  <si>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</si>
  <si>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</si>
  <si>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</si>
  <si>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</si>
  <si>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</si>
  <si>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</si>
  <si>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</si>
  <si>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</si>
  <si>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</si>
  <si>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</si>
  <si>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</si>
  <si>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</si>
  <si>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</si>
  <si>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</si>
  <si>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</si>
  <si>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</si>
  <si>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</si>
  <si>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</si>
  <si>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</si>
  <si>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</si>
  <si>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</si>
  <si>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</si>
  <si>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</si>
  <si>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</si>
  <si>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</si>
  <si>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</si>
  <si>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</si>
  <si>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</si>
  <si>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</si>
  <si>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</si>
  <si>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</si>
  <si>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</si>
  <si>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</si>
  <si>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</si>
  <si>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</si>
  <si>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</si>
  <si>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</si>
  <si>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</si>
  <si>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</si>
  <si>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</si>
  <si>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</si>
  <si>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</si>
  <si>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</si>
  <si>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</si>
  <si>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</si>
  <si>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</si>
  <si>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</si>
  <si>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</si>
  <si>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</si>
  <si>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</si>
  <si>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</si>
  <si>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</si>
  <si>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</si>
  <si>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</si>
  <si>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</si>
  <si>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</si>
  <si>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</si>
  <si>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</si>
  <si>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</si>
  <si>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</si>
  <si>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</si>
  <si>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</si>
  <si>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</si>
  <si>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</si>
  <si>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</si>
  <si>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</si>
  <si>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</si>
  <si>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</si>
  <si>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</si>
  <si>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</si>
  <si>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</si>
  <si>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</si>
  <si>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</si>
  <si>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</si>
  <si>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</si>
  <si>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</si>
  <si>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</si>
  <si>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</si>
  <si>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</si>
  <si>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</si>
  <si>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</si>
  <si>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</si>
  <si>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</si>
  <si>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</si>
  <si>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</si>
  <si>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</si>
  <si>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</si>
  <si>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</si>
  <si>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</si>
  <si>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</si>
  <si>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</si>
  <si>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</si>
  <si>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</si>
  <si>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</si>
  <si>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</si>
  <si>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</si>
  <si>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</si>
  <si>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</si>
  <si>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</si>
  <si>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</si>
  <si>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</si>
  <si>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</si>
  <si>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</si>
  <si>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</si>
  <si>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</si>
  <si>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</si>
  <si>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</si>
  <si>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</si>
  <si>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</si>
  <si>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</si>
  <si>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</si>
  <si>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</si>
  <si>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</si>
  <si>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</si>
  <si>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</si>
  <si>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</si>
  <si>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</si>
  <si>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</si>
  <si>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</si>
  <si>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</si>
  <si>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</si>
  <si>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</si>
  <si>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</si>
  <si>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</si>
  <si>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</si>
  <si>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</si>
  <si>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</si>
  <si>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</si>
  <si>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</si>
  <si>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</si>
  <si>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</si>
  <si>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</si>
  <si>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</si>
  <si>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</si>
  <si>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</si>
  <si>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</si>
  <si>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</si>
  <si>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</si>
  <si>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</si>
  <si>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</si>
  <si>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</si>
  <si>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</si>
  <si>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</si>
  <si>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</si>
  <si>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</si>
  <si>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</si>
  <si>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</si>
  <si>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</si>
  <si>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</si>
  <si>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</si>
  <si>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</si>
  <si>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</si>
  <si>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</si>
  <si>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</si>
  <si>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</si>
  <si>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</si>
  <si>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</si>
  <si>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</si>
  <si>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</si>
  <si>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</si>
  <si>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</si>
  <si>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</si>
  <si>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</si>
  <si>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</si>
  <si>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</si>
  <si>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</si>
  <si>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</si>
  <si>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</si>
  <si>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</si>
  <si>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</si>
  <si>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</si>
  <si>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</si>
  <si>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</si>
  <si>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</si>
  <si>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</si>
  <si>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</si>
  <si>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</si>
  <si>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</si>
  <si>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</si>
  <si>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</si>
  <si>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</si>
  <si>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</si>
  <si>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</si>
  <si>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</si>
  <si>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</si>
  <si>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</si>
  <si>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</si>
  <si>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</si>
  <si>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</si>
  <si>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</si>
  <si>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</si>
  <si>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</si>
  <si>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</si>
  <si>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</si>
  <si>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</si>
  <si>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</si>
  <si>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</si>
  <si>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</si>
  <si>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</si>
  <si>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</si>
  <si>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</si>
  <si>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</si>
  <si>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</si>
  <si>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</si>
  <si>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</si>
  <si>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</si>
  <si>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</si>
  <si>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</si>
  <si>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</si>
  <si>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</si>
  <si>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</si>
  <si>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</si>
  <si>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</si>
  <si>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</si>
  <si>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</si>
  <si>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</si>
  <si>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</si>
  <si>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</si>
  <si>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</si>
  <si>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</si>
  <si>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</si>
  <si>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</si>
  <si>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</si>
  <si>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</si>
  <si>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</si>
  <si>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</si>
  <si>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</si>
  <si>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</si>
  <si>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</si>
  <si>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</si>
  <si>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</si>
  <si>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</si>
  <si>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</si>
  <si>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</si>
  <si>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</si>
  <si>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</si>
  <si>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</si>
  <si>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</si>
  <si>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</si>
  <si>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</si>
  <si>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</si>
  <si>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</si>
  <si>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</si>
  <si>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</si>
  <si>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</si>
  <si>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</si>
  <si>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</si>
  <si>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</si>
  <si>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</si>
  <si>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</si>
  <si>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</si>
  <si>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</si>
  <si>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</si>
  <si>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</si>
  <si>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</si>
  <si>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</si>
  <si>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</si>
  <si>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</si>
  <si>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</si>
  <si>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</si>
  <si>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</si>
  <si>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</si>
  <si>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</si>
  <si>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</si>
  <si>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</si>
  <si>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</si>
  <si>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</si>
  <si>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</si>
  <si>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</si>
  <si>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</si>
  <si>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</si>
  <si>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</si>
  <si>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</si>
  <si>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</si>
  <si>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</si>
  <si>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</si>
  <si>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</si>
  <si>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</si>
  <si>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</si>
  <si>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</si>
  <si>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</si>
  <si>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</si>
  <si>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</si>
  <si>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</si>
  <si>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</si>
  <si>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</si>
  <si>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</si>
  <si>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</si>
  <si>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</si>
  <si>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</si>
  <si>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</si>
  <si>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</si>
  <si>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</si>
  <si>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</si>
  <si>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</si>
  <si>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</si>
  <si>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</si>
  <si>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</si>
  <si>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</si>
  <si>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</si>
  <si>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</si>
  <si>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</si>
  <si>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</si>
  <si>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</si>
  <si>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</si>
  <si>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</si>
  <si>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</si>
  <si>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</si>
  <si>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</si>
  <si>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</si>
  <si>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</si>
  <si>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</si>
  <si>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</si>
  <si>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</si>
  <si>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</si>
  <si>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</si>
  <si>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</si>
  <si>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</si>
  <si>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</si>
  <si>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</si>
  <si>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</si>
  <si>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</si>
  <si>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</si>
  <si>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</si>
  <si>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</si>
  <si>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</si>
  <si>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</si>
  <si>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</si>
  <si>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</si>
  <si>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</si>
  <si>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</si>
  <si>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</si>
  <si>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</si>
  <si>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</si>
  <si>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</si>
  <si>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</si>
  <si>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</si>
  <si>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</si>
  <si>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</si>
  <si>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</si>
  <si>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</si>
  <si>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</si>
  <si>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</si>
  <si>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</si>
  <si>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</si>
  <si>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</si>
  <si>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</si>
  <si>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</si>
  <si>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</si>
  <si>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</si>
  <si>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</si>
  <si>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</si>
  <si>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</si>
  <si>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</si>
  <si>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</si>
  <si>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</si>
  <si>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</si>
  <si>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</si>
  <si>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</si>
  <si>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</si>
  <si>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</si>
  <si>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</si>
  <si>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</si>
  <si>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</si>
  <si>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</si>
  <si>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</si>
  <si>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</si>
  <si>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</si>
  <si>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</si>
  <si>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</si>
  <si>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</si>
  <si>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</si>
  <si>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</si>
  <si>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</si>
  <si>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</si>
  <si>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</si>
  <si>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</si>
  <si>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</si>
  <si>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</si>
  <si>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</si>
  <si>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</si>
  <si>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</si>
  <si>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</si>
  <si>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</si>
  <si>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</si>
  <si>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</si>
  <si>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</si>
  <si>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</si>
  <si>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</si>
  <si>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</si>
  <si>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</si>
  <si>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</si>
  <si>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</si>
  <si>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</si>
  <si>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</si>
  <si>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</si>
  <si>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</si>
  <si>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</si>
  <si>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</si>
  <si>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</si>
  <si>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</si>
  <si>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</si>
  <si>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</si>
  <si>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</si>
  <si>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</si>
  <si>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</si>
  <si>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</si>
  <si>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</si>
  <si>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</si>
  <si>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</si>
  <si>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</si>
  <si>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</si>
  <si>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</si>
  <si>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</si>
  <si>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</si>
  <si>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</si>
  <si>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</si>
  <si>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Не требуется</t>
  </si>
  <si>
    <t>нд</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</si>
  <si>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</si>
  <si>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</si>
  <si>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</si>
  <si>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</si>
  <si>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</si>
  <si>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</si>
  <si>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</si>
  <si>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</si>
  <si>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</si>
  <si>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</si>
  <si>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</si>
  <si>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</si>
  <si>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</si>
  <si>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</si>
  <si>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</si>
  <si>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</si>
  <si>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</si>
  <si>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</si>
  <si>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</si>
  <si>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</si>
  <si>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</si>
  <si>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</si>
  <si>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</si>
  <si>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</si>
  <si>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</si>
  <si>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</si>
  <si>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</si>
  <si>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</si>
  <si>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</si>
  <si>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</si>
  <si>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</si>
  <si>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</si>
  <si>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</si>
  <si>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</si>
  <si>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</si>
  <si>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</si>
  <si>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</si>
  <si>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</si>
  <si>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</si>
  <si>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</si>
  <si>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</si>
  <si>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</si>
  <si>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</si>
  <si>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</si>
  <si>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</si>
  <si>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 требуется</t>
  </si>
  <si>
    <t>Цели (указать укрупненные цели в соответствии с приложением 1)</t>
  </si>
  <si>
    <t>нет</t>
  </si>
  <si>
    <t>Не относится</t>
  </si>
  <si>
    <t>ВЛ</t>
  </si>
  <si>
    <t>Согласну Приказа АО ЯЭ от 26.01.2018 № 25</t>
  </si>
  <si>
    <t>КЛ</t>
  </si>
  <si>
    <t>ВКЛ</t>
  </si>
  <si>
    <t>ПС (ПС + ВЛ, ПС + КЛ, ПС + ВКЛ)</t>
  </si>
  <si>
    <t>Среднее значение для расчета</t>
  </si>
  <si>
    <t>Городской округ "Город Калининград"</t>
  </si>
  <si>
    <t>Акционерное общество "Россети Янтарь" ДЗО  ПАО "Россети"</t>
  </si>
  <si>
    <t>АО "Россети Янтарь"</t>
  </si>
  <si>
    <t>Реконструкция распределительных сетей 6-10 кВ в г. Калининграде</t>
  </si>
  <si>
    <t>Т1</t>
  </si>
  <si>
    <t>Реконструкция линий электропередачи</t>
  </si>
  <si>
    <t>РП-6 - СП-52</t>
  </si>
  <si>
    <t>до 1945</t>
  </si>
  <si>
    <t>4х240</t>
  </si>
  <si>
    <t>в земле</t>
  </si>
  <si>
    <t xml:space="preserve">СП-52 - Леон.37-33,К.Маркса,5-11 - СП-116 </t>
  </si>
  <si>
    <t xml:space="preserve">СП-116 - Леон.37-33,К.Маркса,5-11 - СП-116 </t>
  </si>
  <si>
    <t>ТП-73 - К. Леонова 27,27а, Пацаева - СП-29</t>
  </si>
  <si>
    <t xml:space="preserve">ТП-517:
Т-1 0,14 МВт
Т-2 0,136 МВт
дата замеров 21.12.2022
</t>
  </si>
  <si>
    <t>КЛ-6 кВ ТП-517 - РП-VI</t>
  </si>
  <si>
    <t>КЛ-6 кВ ТП-103- ТП-73</t>
  </si>
  <si>
    <t>КЛ-6 кВ ТП-103- РП-VI</t>
  </si>
  <si>
    <t>Реконструкция</t>
  </si>
  <si>
    <t>Всего в 2022 году, в том числе</t>
  </si>
  <si>
    <t>Отключений нет.</t>
  </si>
  <si>
    <t>Нет.</t>
  </si>
  <si>
    <t>ТП-73 - К. Леонова 27,27а, Пацаева, 4</t>
  </si>
  <si>
    <t>345863 1111221350045</t>
  </si>
  <si>
    <t>4.1.3</t>
  </si>
  <si>
    <t>СП-116 -Чайковского 66-64</t>
  </si>
  <si>
    <t>Всего в 2021 году, в том числе</t>
  </si>
  <si>
    <t>Всего в 2020 году, в том числе</t>
  </si>
  <si>
    <t>Всего в 2019 году, в том числе</t>
  </si>
  <si>
    <t>N_19-1035-1</t>
  </si>
  <si>
    <t>да</t>
  </si>
  <si>
    <t>ТП 6/0,23 кВ ТП-73</t>
  </si>
  <si>
    <t>ТМ 75 кВА 6/0,23 кВ</t>
  </si>
  <si>
    <t>Т1, Т2</t>
  </si>
  <si>
    <t>РП 6 кВ РП-6</t>
  </si>
  <si>
    <t>ТМ 185 кВА 6/0,23 кВ</t>
  </si>
  <si>
    <t>2024 год</t>
  </si>
  <si>
    <t>2025 год</t>
  </si>
  <si>
    <t>2026 год</t>
  </si>
  <si>
    <t>2027 год</t>
  </si>
  <si>
    <t>2028 год</t>
  </si>
  <si>
    <t xml:space="preserve"> по состоянию на 01.01.2023</t>
  </si>
  <si>
    <t xml:space="preserve"> платы за технологическое присоединение</t>
  </si>
  <si>
    <r>
      <t>Другое</t>
    </r>
    <r>
      <rPr>
        <vertAlign val="superscript"/>
        <sz val="12"/>
        <color rgb="FF000000"/>
        <rFont val="Times New Roman"/>
        <family val="1"/>
        <charset val="204"/>
      </rPr>
      <t>3)</t>
    </r>
    <r>
      <rPr>
        <sz val="12"/>
        <color rgb="FF000000"/>
        <rFont val="Times New Roman"/>
        <family val="1"/>
        <charset val="204"/>
      </rPr>
      <t>, комплект</t>
    </r>
  </si>
  <si>
    <r>
      <t>другое</t>
    </r>
    <r>
      <rPr>
        <vertAlign val="superscript"/>
        <sz val="12"/>
        <color rgb="FF000000"/>
        <rFont val="Times New Roman"/>
        <family val="1"/>
        <charset val="204"/>
      </rPr>
      <t>3)</t>
    </r>
  </si>
  <si>
    <t>ПИР</t>
  </si>
  <si>
    <t xml:space="preserve">Разработка проектно-сметной и рабочей документации по титулу: "Перевод потребителей с напряжения 0,23 кВ на 0,4 кВ в городе Калининграде " </t>
  </si>
  <si>
    <t>АО "Янтарьэнерго"</t>
  </si>
  <si>
    <t>УР</t>
  </si>
  <si>
    <t>ВЗ</t>
  </si>
  <si>
    <t>ЗП</t>
  </si>
  <si>
    <t>"ПИК "РЕЗОНАНС" ООО</t>
  </si>
  <si>
    <t>32008962511</t>
  </si>
  <si>
    <t xml:space="preserve">https://rosseti.roseltorg.ru/ </t>
  </si>
  <si>
    <t>20.05.2020</t>
  </si>
  <si>
    <t>ДС № 1 от 27.08.2020, ДС № 2 от 17.12.2020; ДС № 3 от 22.12.2020; ДС № 4 от 30.12.2020</t>
  </si>
  <si>
    <t>"ЭСИСТЭК" ООО</t>
  </si>
  <si>
    <t>Сметная стоимость проекта в ценах 2024 года с НДС, млн. руб.</t>
  </si>
  <si>
    <t>0(-0,335) МВА, 1,999 (0,438) км</t>
  </si>
  <si>
    <t>ПИР ООО "ПИК-Резонанс" договор № 32008962511 от 20.05.2020 (ДС № 1 от 27.08.2020, ДС № 2 от 17.12.2020; ДС № 3 от 22.12.2020; ДС № 4 от 30.12.2020) в ценах 2020 года без НДС, млн рублей</t>
  </si>
  <si>
    <t>ПИР ООО "ПИК-Резонанс" договор № 32008962511 от 20.05.2020 (ДС № 1 от 27.08.2020, ДС № 2 от 17.12.2020; ДС № 3 от 22.12.2020; ДС № 4 от 30.12.2020)</t>
  </si>
  <si>
    <t>3х70</t>
  </si>
  <si>
    <t>3х120</t>
  </si>
  <si>
    <t>В cоответствии с п.21 раздела IV Приказа МинЭнергетики РФ от 14.03.2016 №177 данный показатель ТСО не_рассчитывается</t>
  </si>
  <si>
    <t>КЛ-6 кВ ТП-517- ТП-73; 
ТП-73 - РП-VI</t>
  </si>
  <si>
    <t>Акт технического обследования от 07.06.2022 ГРЭС АО "Россети Янтарь"</t>
  </si>
  <si>
    <t>BB/TEL ISM15_LD_1, 630 А</t>
  </si>
  <si>
    <t>Требуется проведение комплексной реконструкции и заменой на кабельную продукцию необходимого сечения, соответствующие требованиям действующих НТД</t>
  </si>
  <si>
    <t>КЛ - 6,45 млн.руб./км</t>
  </si>
  <si>
    <t>Инвестиции</t>
  </si>
  <si>
    <t xml:space="preserve">Выполнение требований законодательства Российской Федерации.
Перевод сетей с нестандартным классом напряжения 0,23 кВ на напряжение 0,4 кВ.
Обновление сетей электроснабжения. 
Повышение надежности оказываемых услуг в сфере электроэнергетики. </t>
  </si>
  <si>
    <t>1. Выполнение требований законодательства Российской Федерации в соответсвии с требованиями пункта 1 статьи 33 Федерального закона № 73-ФЗ. 
2. Снижение уровня аварийности DПsaidi=-0,00000006, DПsaifi=-0,00000004.
3. Приведение параметров качества электрической энергии требованиям ГОСТ 32144-2013.
4. Повышение индекста технического состояния участков ВЛ до 100.
5. Уменьшение потерь в сетях и увеличение пропускной способности</t>
  </si>
  <si>
    <t>­ трансформаторная подстанция ВТП-73, исключающаяся из схемы электроснабжения, расположена в подвальном помещении здания объекта культурного наследия регионального значения "Здание почтового отделения "Гинденбург", 30-е годы XX века. В соответсвии с требованиями письма от 15.02.2022 № ОКН-250-2 Службы государственной охраны объектов культурного наследия Калининградской области по соблюдению требований сохранения и использования объектов культрного наследия и во исполнение пункта 1 статьи 33 Федерального закона № 73-ФЗ объекты культурного наследия подлежат государственной охране в целях предотвращения их повреждения, разрушения или уничтожения, изменения облика и интерьера (в случае, если интерьер объекта культурного наследия относится к его предмету охраны), нарушения установленного порядка их использования, незаконного перемещения и предотвращения других действий, могущих причинить вред объектам культурного наследия, а также в целях их защиты от неблагоприятного воздействия окружающей среды и от иных негативных воздействий было принято решение о демонтаже ВТП-73 и переключении питающих ее КЛ 6 кВ на ТП-517, ТП-103 и РП-6 путем строительства дополнительных участков КЛ 6 кВ;
­ повышение качества надежности электроснабжения потребителей г. Калининград в связи заменой КЛ довоенной постройки;
­ приведение параметров качества электроэнергии к требованиям ГОСТ 32144-2013 в связи с переводом потребителей с нестардатного класса напряжения 0,23 кВ на 0,4 кВ;
­ снижение аварийности в сетях 0,23/0,4 кВ;
­ снижение затрат на техническое обслуживание и ремонт объектов;
­ замена оборудования, выработавшего ресурс</t>
  </si>
  <si>
    <t>ГП</t>
  </si>
  <si>
    <t>НМЦ лота</t>
  </si>
  <si>
    <t>ООО "Энергопроект"</t>
  </si>
  <si>
    <t>32312395197</t>
  </si>
  <si>
    <t>ОК</t>
  </si>
  <si>
    <t>Корректировка РД и выполнение СМР, ПНР с поставкой МТРиО в рамках титула: "Программа реконструкции сетей 0,23 кВ с переводом на напряжение 0,4 кВ в г. Калининграде (по улицам: Леонова, Чайковского, К. Маркса): реконструкция ЛЭП 0,23 кВ протяженностью 1,493 км (с приростом 0,438 км), дооборудования резервной ячейки в РП-VI вакуумным выключателем 6 кВ и строительством 0,506 км кабельных линий 6 кВ"</t>
  </si>
  <si>
    <t>https://lot-online.ru</t>
  </si>
  <si>
    <t>Реконструкция ЛЭП 0,23 кВ с переводом на напряжение 0,4 кВ: демонтаж ЛЭП 0,23 кВ протяженностью 1,055 км, строительство ЛЭП 0,4 кВ протяженностью 1,493 км, демонтаж ТП 6/0,23 кВ ТП-73 мощностью 0,15 МВА, демонтаж трансформатора 6/0,23 кВ  0,185 МВА в РП-VI, дооборудование резервной ячейки в РП-VI вакуумным выключателем 6 кВ и строительство 0,506 км кабельных линий 6 кВ в г. Калининграде</t>
  </si>
  <si>
    <t>Развитие электрической сети/усиление существующей электрической сети, связанное с подключением новых потребителей; 
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</si>
  <si>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 ЛЭП 0,23 кВ с переводом на напряжение 0,4 кВ: демонтаж ЛЭП 0,23 кВ протяженностью 1,055 км, строительство ЛЭП 0,4 кВ протяженностью 1,493 км, демонтаж ТП 6/0,23 кВ ТП-73 мощностью 0,15 МВА, демонтаж трансформатора 6/0,23 кВ  0,185 МВА в РП-VI, дооборудование резервной ячейки в РП-VI вакуумным выключателем 6 кВ и строительство 0,506 км кабельных линий 6 кВ в г. Калининграде для исключения из схемы электроснабжения трансформаторной подстанции ВТП-73</t>
  </si>
  <si>
    <t>Предложения по корректировке плана</t>
  </si>
  <si>
    <t>Факт 2023 года</t>
  </si>
  <si>
    <t>ДС № 1 от 23.10.2023</t>
  </si>
  <si>
    <t>среднеотпускной тариф на услуги по передаче, руб/тыс.кВтч</t>
  </si>
  <si>
    <t>Эффект от снижения потерь электроэнергии, тыс.кВт*ч</t>
  </si>
  <si>
    <t>тыс.кВт*ч</t>
  </si>
  <si>
    <t>Увеличение дохода от передачи ээ, руб.  в ценах текущего года</t>
  </si>
  <si>
    <t>Увеличение дохода от снижения потерь ээ, руб. в ценах текущего года</t>
  </si>
  <si>
    <t>Год раскрытия информации: 2025 год</t>
  </si>
  <si>
    <t>КЛ 0,23 кВ РП-6 - СП-52</t>
  </si>
  <si>
    <t>КЛ 0,4 кВ N0 ТП-517 - СП-172</t>
  </si>
  <si>
    <t>1 этап</t>
  </si>
  <si>
    <t>КЛ 0,4 кВ N0.1 СП-172 - ул. Леонова 26а</t>
  </si>
  <si>
    <t>4х35</t>
  </si>
  <si>
    <t>4х50</t>
  </si>
  <si>
    <t xml:space="preserve">КЛ 0,23 кВ СП-52 - Леон.37-33,К.Маркса,5-11 - СП-116 </t>
  </si>
  <si>
    <t>3х50</t>
  </si>
  <si>
    <t>4х95</t>
  </si>
  <si>
    <t>4х70</t>
  </si>
  <si>
    <t>КЛ 0,23 кВ ТП-73 - К. Леонова 27,27а, Пацаева - СП-29</t>
  </si>
  <si>
    <t>3х35 3х50</t>
  </si>
  <si>
    <t>4х25</t>
  </si>
  <si>
    <t>КЛ 0,23 кВ СП-116 - Чайковского 66-64</t>
  </si>
  <si>
    <t>4х120</t>
  </si>
  <si>
    <t>2 этап</t>
  </si>
  <si>
    <t>КЛ 0,4 кВ N1 СП-172  - СП-2238 (СП-2238 (СП-1 0,4/0,23 кВ новый))</t>
  </si>
  <si>
    <t>КЛ 0,23 кВ N1.1 СП-2238 (СП-1 0,4/0,23 кВ новый)  - ул. К. Маркса 16</t>
  </si>
  <si>
    <t>КЛ 0,23 кВ N1.2 СП-2238 (СП-1 0,4/0,23 кВ новый)  - ул. К. Маркса 3, Леонова 33-37</t>
  </si>
  <si>
    <t>КЛ 0,23 кВ N1.3 СП-2238 (СП-1 0,4/0,23 кВ новый)  - ул. К. Маркса 5-11</t>
  </si>
  <si>
    <t>КЛ 0,23 кВ N1.4 СП-2238 (СП-1 0,4/0,23 кВ новый) - светофор</t>
  </si>
  <si>
    <t>КЛ 0,4 кВ N2 ТП-517 - СП-2239 (СП-2 0,4/0,23 кВ новый)</t>
  </si>
  <si>
    <t>КЛ 0,23 кВ N2.0 СП-2239 (СП-2 0,4/0,23 кВ новый) - ул. Косм. Леонова 27а</t>
  </si>
  <si>
    <t>КЛ 0,23 кВ N2.1 СП-2239 (СП-2 0,4/0,23 кВ новый) - ул. Косм. Леонова 27а</t>
  </si>
  <si>
    <t>КЛ 0,23 кВ N2.2 СП-2239 (СП-2 0,4/0,23 кВ новый) - ул. Косм. Леонова 27</t>
  </si>
  <si>
    <t>КЛ 0,23 кВ N2.3 СП-2239 (СП-2 0,4/0,23 кВ новый) - ул. Косм. Леонова 27</t>
  </si>
  <si>
    <t>КЛ 0,23 кВ N2.4 СП-2239 (СП-2 0,4/0,23 кВ новый) - ул. Косм. Леонова 20</t>
  </si>
  <si>
    <t>КЛ 0,4 кВ N3 СП-2239 (СП-2 0,4/0,23 кВ новый) - СП-2240 (СП-3 0,23 кВ новый)</t>
  </si>
  <si>
    <t>КЛ 0,23 кВ N3.1 СП-2240 (СП-3 0,23 кВ новый) - ул.Чайковского 64</t>
  </si>
  <si>
    <t>КЛ 0,23 кВ N3.2 СП-2240 (СП-3 0,23 кВ новый) - ул.Чайковского 66</t>
  </si>
  <si>
    <t>З, С</t>
  </si>
  <si>
    <t>частично принят к бухгалтерскому учету</t>
  </si>
  <si>
    <t xml:space="preserve"> - незаконтрактованные затраты</t>
  </si>
  <si>
    <t>Содержание дирекции заказчика-застройщика  в ценах 2024 года, млн рублей</t>
  </si>
  <si>
    <r>
      <t xml:space="preserve">∆L0,4лэп = 0,48 км; ∆L0,23лэп = -0,007 км; ∆L6лэп = 0,509 км; ∆P6тр = -0,335 МВА;
</t>
    </r>
    <r>
      <rPr>
        <sz val="12"/>
        <color theme="1"/>
        <rFont val="Times New Roman"/>
        <family val="1"/>
        <charset val="204"/>
      </rPr>
      <t>Dпsaidi = -0,00000006, Dпsaifi = -0,00000004</t>
    </r>
    <r>
      <rPr>
        <sz val="12"/>
        <rFont val="Times New Roman"/>
        <family val="1"/>
        <charset val="204"/>
      </rPr>
      <t>; 
Фтз = 20,79 млн.руб.</t>
    </r>
  </si>
  <si>
    <t>ПСД, утв. приказом № 97 от 22.03.2021</t>
  </si>
  <si>
    <t>2024, 2025</t>
  </si>
  <si>
    <t xml:space="preserve"> по состоянию на 01.01.2025</t>
  </si>
  <si>
    <t>ООО "Энергопроект" договор под ключ № 32312395197 от 30.08.2023 (ДС № 1 от 23.10.2023, ДС № 2 от 27.12.2024), ООО "Энергопроект" договор № 32514764302/0.23кВ/25 от 02.06.2025</t>
  </si>
  <si>
    <t>ООО "Энергопроект" договор № 32514764302/0.23кВ/25 от 02.06.2025 в ценах 2025 года с НДС, млн. руб.</t>
  </si>
  <si>
    <t>ООО "Энергопроект" договор под ключ № 32312395197 от 30.08.2023 (ДС № 1 от 23.10.2023, ДС № 2 от 27.12.2024) в ценах 2023 года с НДС, млн. руб.</t>
  </si>
  <si>
    <t>Выполнение строительно-монтажных работ, пусконаладочных работ с поставкой материально-технических ресурсов и оборудования  по объекту управления специальных инвестиционных проектов: «Программа реконструкции сетей 0,23 кВ с переводом на напряжение 0,4 кВ в г. Калининграде (по улицам: Леонова, Чайковского, К. Маркса): реконструкция ЛЭП 0,23 кВ протяженностью 1,493 км (с приростом 0,438 км), дооборудования резервной ячейки в РП-VI вакуумным выключателем 6 кВи строительством 0,506 км кабельных линий 6 кВ» (II этап) (Дополнение № 1 от 19.12.2024 к ТЗ на корректировку РД № 01.2023/ГРЭС-23 от 13.04.2023).</t>
  </si>
  <si>
    <t>Расчет предельной стоимости лота</t>
  </si>
  <si>
    <t>ОК ЕП</t>
  </si>
  <si>
    <t>32514764302</t>
  </si>
  <si>
    <t>https://rosseti.roseltorg.ru/</t>
  </si>
  <si>
    <t>30.08.2023 
02.06.2025</t>
  </si>
  <si>
    <t>29.12.2023 
02.06.2025</t>
  </si>
  <si>
    <t>30.11.2023 
02.06.2025</t>
  </si>
  <si>
    <t>29.12.2023 
30.06.2025</t>
  </si>
  <si>
    <t>30.04.2024 
02.06.2025</t>
  </si>
  <si>
    <t>30.09.2024 
30.06.2025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</si>
</sst>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000000"/>
    <numFmt numFmtId="175" formatCode="0.0000"/>
    <numFmt numFmtId="176" formatCode="###,###,###,##0.00;\-###,##0.00"/>
    <numFmt numFmtId="177" formatCode="0.000000000"/>
    <numFmt numFmtId="178"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9"/>
      <color theme="0" tint="-4.9989318521683403E-2"/>
      <name val="Times New Roman"/>
      <family val="1"/>
      <charset val="204"/>
    </font>
    <font>
      <sz val="10"/>
      <color theme="0" tint="-0.249977111117893"/>
      <name val="Arial Cyr"/>
      <charset val="204"/>
    </font>
    <font>
      <sz val="8"/>
      <color indexed="8"/>
      <name val="Times New Roman"/>
      <family val="1"/>
      <charset val="204"/>
    </font>
    <font>
      <sz val="8"/>
      <name val="Times New Roman"/>
      <family val="1"/>
      <charset val="204"/>
    </font>
    <font>
      <b/>
      <u/>
      <sz val="14"/>
      <name val="Times New Roman"/>
      <family val="1"/>
      <charset val="204"/>
    </font>
    <font>
      <b/>
      <u/>
      <sz val="9"/>
      <name val="Times New Roman"/>
      <family val="1"/>
      <charset val="204"/>
    </font>
    <font>
      <sz val="10"/>
      <name val="Arial"/>
      <family val="2"/>
      <charset val="204"/>
    </font>
    <font>
      <sz val="10"/>
      <name val="Helv"/>
      <charset val="204"/>
    </font>
    <font>
      <sz val="11"/>
      <name val="Calibri"/>
      <family val="2"/>
      <charset val="204"/>
    </font>
    <font>
      <sz val="10"/>
      <name val="Arial Cyr"/>
      <family val="2"/>
      <charset val="204"/>
    </font>
    <font>
      <sz val="12"/>
      <color theme="1"/>
      <name val="Calibri"/>
      <family val="2"/>
      <charset val="204"/>
      <scheme val="minor"/>
    </font>
    <font>
      <b/>
      <sz val="12"/>
      <color theme="1"/>
      <name val="Calibri"/>
      <family val="2"/>
      <charset val="204"/>
      <scheme val="minor"/>
    </font>
    <font>
      <b/>
      <sz val="12"/>
      <name val="Calibri"/>
      <family val="2"/>
      <charset val="204"/>
      <scheme val="minor"/>
    </font>
    <font>
      <sz val="12"/>
      <color rgb="FF000000"/>
      <name val="Times New Roman"/>
      <family val="1"/>
      <charset val="204"/>
    </font>
    <font>
      <vertAlign val="superscript"/>
      <sz val="12"/>
      <color rgb="FF000000"/>
      <name val="Times New Roman"/>
      <family val="1"/>
      <charset val="204"/>
    </font>
    <font>
      <u/>
      <sz val="11"/>
      <color theme="10"/>
      <name val="Calibri"/>
      <family val="2"/>
      <charset val="204"/>
      <scheme val="minor"/>
    </font>
    <font>
      <u/>
      <sz val="11"/>
      <color theme="10"/>
      <name val="Times New Roman"/>
      <family val="1"/>
      <charset val="204"/>
    </font>
    <font>
      <sz val="11"/>
      <color rgb="FFFF0000"/>
      <name val="Times New Roman"/>
      <family val="1"/>
      <charset val="204"/>
    </font>
    <font>
      <sz val="11"/>
      <name val="Calibri"/>
      <family val="2"/>
      <charset val="204"/>
      <scheme val="minor"/>
    </font>
    <font>
      <sz val="11"/>
      <color theme="0" tint="-0.249977111117893"/>
      <name val="Times New Roman"/>
      <family val="1"/>
      <charset val="204"/>
    </font>
    <font>
      <sz val="11"/>
      <color rgb="FF000000"/>
      <name val="Times New Roman"/>
      <family val="1"/>
      <charset val="204"/>
    </font>
    <font>
      <sz val="11"/>
      <color rgb="FF000000"/>
      <name val="Arial Cyr"/>
      <charset val="204"/>
    </font>
    <font>
      <sz val="10"/>
      <color rgb="FF000000"/>
      <name val="Arial Cyr"/>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0"/>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rgb="FFE6B8B7"/>
        <bgColor rgb="FF000000"/>
      </patternFill>
    </fill>
  </fills>
  <borders count="8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14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3"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0" fontId="69" fillId="0" borderId="0"/>
    <xf numFmtId="0" fontId="70" fillId="0" borderId="0"/>
    <xf numFmtId="0" fontId="1" fillId="0" borderId="0"/>
    <xf numFmtId="0" fontId="1" fillId="0" borderId="0"/>
    <xf numFmtId="0" fontId="44" fillId="0" borderId="0"/>
    <xf numFmtId="164" fontId="44" fillId="0" borderId="0" applyFont="0" applyFill="0" applyBorder="0" applyAlignment="0" applyProtection="0"/>
    <xf numFmtId="0" fontId="71" fillId="0" borderId="0"/>
    <xf numFmtId="0" fontId="19" fillId="7" borderId="55" applyNumberFormat="0" applyAlignment="0" applyProtection="0"/>
    <xf numFmtId="0" fontId="20" fillId="20" borderId="56" applyNumberFormat="0" applyAlignment="0" applyProtection="0"/>
    <xf numFmtId="0" fontId="21" fillId="20" borderId="55" applyNumberFormat="0" applyAlignment="0" applyProtection="0"/>
    <xf numFmtId="0" fontId="25" fillId="0" borderId="57" applyNumberFormat="0" applyFill="0" applyAlignment="0" applyProtection="0"/>
    <xf numFmtId="0" fontId="16" fillId="23" borderId="58" applyNumberFormat="0" applyFont="0" applyAlignment="0" applyProtection="0"/>
    <xf numFmtId="0" fontId="29" fillId="0" borderId="0"/>
    <xf numFmtId="0" fontId="19" fillId="7" borderId="60" applyNumberFormat="0" applyAlignment="0" applyProtection="0"/>
    <xf numFmtId="0" fontId="20" fillId="20" borderId="61" applyNumberFormat="0" applyAlignment="0" applyProtection="0"/>
    <xf numFmtId="0" fontId="21" fillId="20" borderId="60" applyNumberFormat="0" applyAlignment="0" applyProtection="0"/>
    <xf numFmtId="0" fontId="25" fillId="0" borderId="62" applyNumberFormat="0" applyFill="0" applyAlignment="0" applyProtection="0"/>
    <xf numFmtId="0" fontId="16" fillId="23" borderId="63" applyNumberFormat="0" applyFont="0" applyAlignment="0" applyProtection="0"/>
    <xf numFmtId="9" fontId="3" fillId="0" borderId="0" applyFont="0" applyFill="0" applyBorder="0" applyAlignment="0" applyProtection="0"/>
    <xf numFmtId="0" fontId="1" fillId="0" borderId="0"/>
    <xf numFmtId="164" fontId="1" fillId="0" borderId="0" applyFont="0" applyFill="0" applyBorder="0" applyAlignment="0" applyProtection="0"/>
    <xf numFmtId="0" fontId="72"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1" fillId="0" borderId="0"/>
    <xf numFmtId="43" fontId="1" fillId="0" borderId="0" applyFont="0" applyFill="0" applyBorder="0" applyAlignment="0" applyProtection="0"/>
    <xf numFmtId="0" fontId="19" fillId="7" borderId="64" applyNumberFormat="0" applyAlignment="0" applyProtection="0"/>
    <xf numFmtId="0" fontId="20" fillId="20" borderId="65" applyNumberFormat="0" applyAlignment="0" applyProtection="0"/>
    <xf numFmtId="0" fontId="21" fillId="20" borderId="64" applyNumberFormat="0" applyAlignment="0" applyProtection="0"/>
    <xf numFmtId="0" fontId="25" fillId="0" borderId="66" applyNumberFormat="0" applyFill="0" applyAlignment="0" applyProtection="0"/>
    <xf numFmtId="0" fontId="16" fillId="23" borderId="67" applyNumberFormat="0" applyFont="0" applyAlignment="0" applyProtection="0"/>
    <xf numFmtId="0" fontId="19" fillId="7" borderId="64" applyNumberFormat="0" applyAlignment="0" applyProtection="0"/>
    <xf numFmtId="0" fontId="20" fillId="20" borderId="65" applyNumberFormat="0" applyAlignment="0" applyProtection="0"/>
    <xf numFmtId="0" fontId="21" fillId="20" borderId="64" applyNumberFormat="0" applyAlignment="0" applyProtection="0"/>
    <xf numFmtId="0" fontId="25" fillId="0" borderId="66" applyNumberFormat="0" applyFill="0" applyAlignment="0" applyProtection="0"/>
    <xf numFmtId="0" fontId="16" fillId="23" borderId="67" applyNumberFormat="0" applyFont="0" applyAlignment="0" applyProtection="0"/>
    <xf numFmtId="0" fontId="11" fillId="0" borderId="0"/>
    <xf numFmtId="0" fontId="19" fillId="7" borderId="64" applyNumberFormat="0" applyAlignment="0" applyProtection="0"/>
    <xf numFmtId="0" fontId="20" fillId="20" borderId="65" applyNumberFormat="0" applyAlignment="0" applyProtection="0"/>
    <xf numFmtId="0" fontId="21" fillId="20" borderId="64" applyNumberFormat="0" applyAlignment="0" applyProtection="0"/>
    <xf numFmtId="0" fontId="25" fillId="0" borderId="66" applyNumberFormat="0" applyFill="0" applyAlignment="0" applyProtection="0"/>
    <xf numFmtId="0" fontId="16" fillId="23" borderId="67" applyNumberFormat="0" applyFont="0" applyAlignment="0" applyProtection="0"/>
    <xf numFmtId="0" fontId="25" fillId="0" borderId="66" applyNumberFormat="0" applyFill="0" applyAlignment="0" applyProtection="0"/>
    <xf numFmtId="0" fontId="21" fillId="20" borderId="64" applyNumberFormat="0" applyAlignment="0" applyProtection="0"/>
    <xf numFmtId="0" fontId="19" fillId="7" borderId="64" applyNumberFormat="0" applyAlignment="0" applyProtection="0"/>
    <xf numFmtId="0" fontId="19" fillId="7" borderId="64" applyNumberFormat="0" applyAlignment="0" applyProtection="0"/>
    <xf numFmtId="0" fontId="20" fillId="20" borderId="65" applyNumberFormat="0" applyAlignment="0" applyProtection="0"/>
    <xf numFmtId="0" fontId="21" fillId="20" borderId="64" applyNumberFormat="0" applyAlignment="0" applyProtection="0"/>
    <xf numFmtId="0" fontId="20" fillId="20" borderId="65" applyNumberFormat="0" applyAlignment="0" applyProtection="0"/>
    <xf numFmtId="0" fontId="21" fillId="20" borderId="64" applyNumberFormat="0" applyAlignment="0" applyProtection="0"/>
    <xf numFmtId="0" fontId="25" fillId="0" borderId="66" applyNumberFormat="0" applyFill="0" applyAlignment="0" applyProtection="0"/>
    <xf numFmtId="0" fontId="20" fillId="20" borderId="65" applyNumberFormat="0" applyAlignment="0" applyProtection="0"/>
    <xf numFmtId="0" fontId="19" fillId="7" borderId="64" applyNumberFormat="0" applyAlignment="0" applyProtection="0"/>
    <xf numFmtId="0" fontId="16" fillId="23" borderId="67" applyNumberFormat="0" applyFont="0" applyAlignment="0" applyProtection="0"/>
    <xf numFmtId="0" fontId="25" fillId="0" borderId="66" applyNumberFormat="0" applyFill="0" applyAlignment="0" applyProtection="0"/>
    <xf numFmtId="0" fontId="19" fillId="7" borderId="64" applyNumberFormat="0" applyAlignment="0" applyProtection="0"/>
    <xf numFmtId="0" fontId="20" fillId="20" borderId="65" applyNumberFormat="0" applyAlignment="0" applyProtection="0"/>
    <xf numFmtId="0" fontId="21" fillId="20" borderId="64" applyNumberFormat="0" applyAlignment="0" applyProtection="0"/>
    <xf numFmtId="0" fontId="25" fillId="0" borderId="66" applyNumberFormat="0" applyFill="0" applyAlignment="0" applyProtection="0"/>
    <xf numFmtId="0" fontId="16" fillId="23" borderId="67" applyNumberFormat="0" applyFont="0" applyAlignment="0" applyProtection="0"/>
    <xf numFmtId="9" fontId="44"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11" fillId="0" borderId="0"/>
    <xf numFmtId="43" fontId="1" fillId="0" borderId="0" applyFont="0" applyFill="0" applyBorder="0" applyAlignment="0" applyProtection="0"/>
    <xf numFmtId="43" fontId="1" fillId="0" borderId="0" applyFont="0" applyFill="0" applyBorder="0" applyAlignment="0" applyProtection="0"/>
    <xf numFmtId="0" fontId="78" fillId="0" borderId="0" applyNumberFormat="0" applyFill="0" applyBorder="0" applyAlignment="0" applyProtection="0"/>
    <xf numFmtId="0" fontId="1" fillId="0" borderId="0"/>
  </cellStyleXfs>
  <cellXfs count="56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11" fillId="0" borderId="0" xfId="62" applyFont="1" applyAlignment="1">
      <alignment horizontal="left" vertical="center"/>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6" fillId="0" borderId="0" xfId="2" applyFont="1" applyFill="1" applyAlignment="1"/>
    <xf numFmtId="0" fontId="11" fillId="0" borderId="1" xfId="2" applyFont="1" applyFill="1" applyBorder="1"/>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52" fillId="0" borderId="0" xfId="50" applyFont="1"/>
    <xf numFmtId="49" fontId="52" fillId="0" borderId="0" xfId="50" applyNumberFormat="1" applyFont="1" applyAlignment="1">
      <alignment vertical="center"/>
    </xf>
    <xf numFmtId="0" fontId="52"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47"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1" fillId="0" borderId="32" xfId="2" applyFont="1" applyFill="1" applyBorder="1" applyAlignment="1">
      <alignment horizontal="justify" vertical="top" wrapText="1"/>
    </xf>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39" fillId="0" borderId="1" xfId="1" applyFont="1" applyBorder="1" applyAlignment="1">
      <alignment horizontal="center" vertical="center" wrapText="1"/>
    </xf>
    <xf numFmtId="168" fontId="2" fillId="0" borderId="1" xfId="1" applyNumberFormat="1" applyFont="1" applyBorder="1" applyAlignment="1">
      <alignment horizontal="center" vertical="center"/>
    </xf>
    <xf numFmtId="0" fontId="6" fillId="0" borderId="0" xfId="1" applyFont="1" applyBorder="1" applyAlignment="1">
      <alignment horizontal="center" vertical="center"/>
    </xf>
    <xf numFmtId="0" fontId="6" fillId="0" borderId="0" xfId="1" applyFont="1" applyAlignment="1">
      <alignment horizontal="center" vertical="center"/>
    </xf>
    <xf numFmtId="0" fontId="7" fillId="0" borderId="0" xfId="67" applyFont="1" applyFill="1" applyAlignment="1">
      <alignment vertical="center"/>
    </xf>
    <xf numFmtId="0" fontId="56"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57" fillId="0" borderId="0" xfId="67" applyFont="1" applyFill="1" applyAlignment="1">
      <alignment horizontal="left" vertical="center"/>
    </xf>
    <xf numFmtId="0" fontId="58"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59"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69" fontId="36" fillId="0" borderId="42" xfId="67" applyNumberFormat="1" applyFont="1" applyFill="1" applyBorder="1" applyAlignment="1">
      <alignment vertical="center"/>
    </xf>
    <xf numFmtId="0" fontId="60"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6"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1" fillId="0" borderId="0" xfId="67" applyFont="1" applyFill="1" applyBorder="1" applyAlignment="1">
      <alignment vertical="center" wrapText="1"/>
    </xf>
    <xf numFmtId="3" fontId="61" fillId="0" borderId="0" xfId="67" applyNumberFormat="1" applyFont="1" applyFill="1" applyBorder="1" applyAlignment="1">
      <alignment horizontal="center" vertical="center"/>
    </xf>
    <xf numFmtId="0" fontId="62"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2" fillId="0" borderId="0" xfId="50" applyFont="1" applyAlignment="1">
      <alignment wrapText="1"/>
    </xf>
    <xf numFmtId="0" fontId="63" fillId="0" borderId="0" xfId="50" applyFont="1"/>
    <xf numFmtId="173" fontId="7" fillId="0" borderId="0" xfId="67" applyNumberFormat="1" applyFont="1" applyFill="1" applyAlignment="1">
      <alignment vertical="center"/>
    </xf>
    <xf numFmtId="0" fontId="64" fillId="0" borderId="0" xfId="62" applyFont="1" applyFill="1"/>
    <xf numFmtId="0" fontId="44" fillId="0" borderId="0" xfId="62"/>
    <xf numFmtId="0" fontId="56" fillId="0" borderId="0" xfId="62" applyFont="1"/>
    <xf numFmtId="0" fontId="44" fillId="0" borderId="0" xfId="62" applyAlignment="1">
      <alignment wrapText="1"/>
    </xf>
    <xf numFmtId="0" fontId="56" fillId="0" borderId="0" xfId="62" applyFont="1" applyAlignment="1">
      <alignment wrapText="1"/>
    </xf>
    <xf numFmtId="0" fontId="56" fillId="0" borderId="0" xfId="62" applyFont="1" applyAlignment="1">
      <alignment horizontal="center"/>
    </xf>
    <xf numFmtId="0" fontId="56" fillId="0" borderId="0" xfId="62" applyFont="1" applyBorder="1" applyAlignment="1">
      <alignment horizontal="center"/>
    </xf>
    <xf numFmtId="0" fontId="56" fillId="0" borderId="0" xfId="62" applyFont="1" applyBorder="1"/>
    <xf numFmtId="4" fontId="56" fillId="0" borderId="0" xfId="62" applyNumberFormat="1" applyFont="1" applyAlignment="1">
      <alignment horizontal="center"/>
    </xf>
    <xf numFmtId="0" fontId="7" fillId="0" borderId="0" xfId="67" applyFont="1" applyFill="1" applyBorder="1" applyAlignment="1">
      <alignment vertical="center" wrapText="1"/>
    </xf>
    <xf numFmtId="2" fontId="2" fillId="0" borderId="1" xfId="1" applyNumberFormat="1" applyFont="1" applyBorder="1" applyAlignment="1">
      <alignment horizontal="center" vertical="center"/>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40" fillId="27" borderId="30" xfId="2" applyFont="1" applyFill="1" applyBorder="1" applyAlignment="1">
      <alignment horizontal="justify" vertical="top" wrapText="1"/>
    </xf>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49" fontId="65" fillId="0" borderId="1" xfId="0" applyNumberFormat="1" applyFont="1" applyFill="1" applyBorder="1" applyAlignment="1">
      <alignment horizontal="center" vertical="center" wrapText="1"/>
    </xf>
    <xf numFmtId="4" fontId="65" fillId="0" borderId="1" xfId="0" applyNumberFormat="1" applyFont="1" applyFill="1" applyBorder="1" applyAlignment="1">
      <alignment horizontal="center" vertical="center" wrapText="1"/>
    </xf>
    <xf numFmtId="0" fontId="36" fillId="0" borderId="1" xfId="49" applyFont="1" applyBorder="1"/>
    <xf numFmtId="0" fontId="40" fillId="0" borderId="30" xfId="2" applyNumberFormat="1" applyFont="1" applyFill="1" applyBorder="1" applyAlignment="1">
      <alignment horizontal="justify" vertical="center"/>
    </xf>
    <xf numFmtId="0" fontId="46" fillId="0" borderId="0" xfId="2" applyFont="1" applyFill="1" applyAlignment="1">
      <alignment horizontal="center"/>
    </xf>
    <xf numFmtId="0" fontId="11" fillId="0" borderId="1" xfId="2" applyNumberFormat="1" applyFont="1" applyFill="1" applyBorder="1" applyAlignment="1">
      <alignment horizontal="center" vertical="center" wrapText="1"/>
    </xf>
    <xf numFmtId="0" fontId="46" fillId="0" borderId="0" xfId="1" applyFont="1" applyAlignment="1">
      <alignment vertical="center"/>
    </xf>
    <xf numFmtId="0" fontId="12" fillId="0" borderId="0" xfId="1" applyFont="1" applyFill="1" applyBorder="1" applyAlignment="1">
      <alignment vertical="center"/>
    </xf>
    <xf numFmtId="0" fontId="68" fillId="0" borderId="0" xfId="1" applyFont="1" applyAlignment="1">
      <alignment vertical="center"/>
    </xf>
    <xf numFmtId="0" fontId="11" fillId="0" borderId="0" xfId="1" applyFont="1" applyAlignment="1">
      <alignment vertical="center"/>
    </xf>
    <xf numFmtId="0" fontId="11" fillId="27" borderId="0" xfId="2" applyFont="1" applyFill="1"/>
    <xf numFmtId="0" fontId="42" fillId="0" borderId="1" xfId="2" applyNumberFormat="1" applyFont="1" applyBorder="1" applyAlignment="1">
      <alignment horizontal="center" vertical="top" wrapText="1"/>
    </xf>
    <xf numFmtId="0" fontId="11" fillId="0" borderId="0" xfId="2" applyFont="1" applyFill="1" applyAlignment="1">
      <alignment vertical="top" wrapText="1"/>
    </xf>
    <xf numFmtId="0" fontId="42" fillId="0" borderId="4" xfId="2" applyFont="1" applyBorder="1" applyAlignment="1">
      <alignment vertical="top" wrapText="1"/>
    </xf>
    <xf numFmtId="0" fontId="11" fillId="0" borderId="4" xfId="2" applyFont="1" applyBorder="1" applyAlignment="1">
      <alignment vertical="top" wrapText="1"/>
    </xf>
    <xf numFmtId="0" fontId="11" fillId="0" borderId="4" xfId="2" applyFont="1" applyBorder="1" applyAlignment="1">
      <alignment horizontal="justify" vertical="top" wrapText="1"/>
    </xf>
    <xf numFmtId="0" fontId="12" fillId="24" borderId="0" xfId="1" applyFont="1" applyFill="1" applyBorder="1" applyAlignment="1">
      <alignment horizontal="left" vertical="center"/>
    </xf>
    <xf numFmtId="0" fontId="39" fillId="0" borderId="1" xfId="0" applyFont="1" applyBorder="1" applyAlignment="1">
      <alignment horizontal="center" vertical="center" wrapText="1"/>
    </xf>
    <xf numFmtId="168" fontId="39" fillId="0" borderId="1" xfId="0" applyNumberFormat="1" applyFont="1" applyBorder="1" applyAlignment="1">
      <alignment horizontal="center" vertical="center" wrapText="1"/>
    </xf>
    <xf numFmtId="4" fontId="39" fillId="0" borderId="1" xfId="0" applyNumberFormat="1" applyFont="1" applyBorder="1" applyAlignment="1">
      <alignment horizontal="center" vertical="center" wrapText="1"/>
    </xf>
    <xf numFmtId="4" fontId="40" fillId="0" borderId="30" xfId="2" applyNumberFormat="1" applyFont="1" applyFill="1" applyBorder="1" applyAlignment="1">
      <alignment horizontal="justify" vertical="top" wrapText="1"/>
    </xf>
    <xf numFmtId="4" fontId="40" fillId="0" borderId="46" xfId="2" applyNumberFormat="1" applyFont="1" applyFill="1" applyBorder="1" applyAlignment="1">
      <alignment horizontal="left" vertical="center" wrapText="1"/>
    </xf>
    <xf numFmtId="4" fontId="40" fillId="27" borderId="30" xfId="2" applyNumberFormat="1" applyFont="1" applyFill="1" applyBorder="1" applyAlignment="1">
      <alignment horizontal="justify" vertical="top" wrapText="1"/>
    </xf>
    <xf numFmtId="14" fontId="40" fillId="0" borderId="34" xfId="2" applyNumberFormat="1" applyFont="1" applyFill="1" applyBorder="1" applyAlignment="1">
      <alignment horizontal="justify" vertical="top" wrapText="1"/>
    </xf>
    <xf numFmtId="0" fontId="58" fillId="28" borderId="0" xfId="67" applyFont="1" applyFill="1" applyAlignment="1">
      <alignment vertical="center"/>
    </xf>
    <xf numFmtId="0" fontId="7" fillId="28" borderId="0" xfId="67" applyFont="1" applyFill="1" applyAlignment="1">
      <alignment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4" fontId="42" fillId="0" borderId="38" xfId="62" applyNumberFormat="1" applyFont="1" applyFill="1" applyBorder="1" applyAlignment="1">
      <alignment horizontal="left" vertical="center" wrapText="1"/>
    </xf>
    <xf numFmtId="4" fontId="36" fillId="0" borderId="0" xfId="49" applyNumberFormat="1" applyFont="1"/>
    <xf numFmtId="0" fontId="42" fillId="0" borderId="47" xfId="2" applyNumberFormat="1" applyFont="1" applyFill="1" applyBorder="1" applyAlignment="1">
      <alignment horizontal="center" vertical="top" wrapText="1"/>
    </xf>
    <xf numFmtId="0" fontId="11" fillId="0" borderId="47" xfId="2" applyFont="1" applyFill="1" applyBorder="1"/>
    <xf numFmtId="1" fontId="37" fillId="0" borderId="1" xfId="49" applyNumberFormat="1" applyFont="1" applyFill="1" applyBorder="1" applyAlignment="1">
      <alignment horizontal="center" vertical="center"/>
    </xf>
    <xf numFmtId="49" fontId="37" fillId="0" borderId="1" xfId="49" applyNumberFormat="1" applyFont="1" applyFill="1" applyBorder="1" applyAlignment="1">
      <alignment horizontal="center" vertical="center"/>
    </xf>
    <xf numFmtId="17" fontId="37" fillId="0" borderId="1" xfId="49" applyNumberFormat="1" applyFont="1" applyFill="1" applyBorder="1" applyAlignment="1">
      <alignment horizontal="center" vertical="center"/>
    </xf>
    <xf numFmtId="2" fontId="65" fillId="0" borderId="1" xfId="0" applyNumberFormat="1" applyFont="1" applyFill="1" applyBorder="1" applyAlignment="1">
      <alignment horizontal="center" vertical="center" wrapText="1"/>
    </xf>
    <xf numFmtId="4" fontId="66" fillId="0" borderId="1" xfId="0" applyNumberFormat="1" applyFont="1" applyFill="1" applyBorder="1" applyAlignment="1">
      <alignment horizontal="center" vertical="center" wrapText="1"/>
    </xf>
    <xf numFmtId="14" fontId="65" fillId="0" borderId="1" xfId="0" applyNumberFormat="1" applyFont="1" applyFill="1" applyBorder="1" applyAlignment="1">
      <alignment horizontal="center" vertical="center" wrapText="1"/>
    </xf>
    <xf numFmtId="0" fontId="37" fillId="0" borderId="0" xfId="49" applyFont="1" applyFill="1"/>
    <xf numFmtId="0" fontId="36" fillId="0" borderId="1" xfId="49" applyFont="1" applyFill="1" applyBorder="1"/>
    <xf numFmtId="49" fontId="37" fillId="0" borderId="1" xfId="49" applyNumberFormat="1" applyFont="1" applyFill="1" applyBorder="1" applyAlignment="1">
      <alignment horizontal="center" vertical="center" wrapText="1"/>
    </xf>
    <xf numFmtId="14" fontId="37" fillId="0" borderId="1" xfId="49" applyNumberFormat="1" applyFont="1" applyFill="1" applyBorder="1" applyAlignment="1">
      <alignment horizontal="center" vertical="center" wrapText="1"/>
    </xf>
    <xf numFmtId="0" fontId="7" fillId="0" borderId="0" xfId="0" applyFont="1" applyFill="1" applyAlignment="1">
      <alignment horizontal="left" vertical="center"/>
    </xf>
    <xf numFmtId="49" fontId="7" fillId="0" borderId="1" xfId="1" applyNumberFormat="1" applyFont="1" applyFill="1" applyBorder="1" applyAlignment="1">
      <alignment horizontal="center" vertical="center"/>
    </xf>
    <xf numFmtId="0" fontId="11" fillId="0" borderId="53" xfId="2" applyFont="1" applyFill="1" applyBorder="1" applyAlignment="1">
      <alignment horizontal="center" vertical="center"/>
    </xf>
    <xf numFmtId="0" fontId="5" fillId="0" borderId="0" xfId="1" applyFont="1" applyAlignment="1">
      <alignment horizontal="center" vertical="center"/>
    </xf>
    <xf numFmtId="49" fontId="7" fillId="0" borderId="50" xfId="1" applyNumberFormat="1" applyFont="1" applyFill="1" applyBorder="1" applyAlignment="1">
      <alignment horizontal="center" vertical="center"/>
    </xf>
    <xf numFmtId="0" fontId="7" fillId="0" borderId="50" xfId="1" applyFont="1" applyFill="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51" xfId="1" applyFont="1" applyBorder="1" applyAlignment="1">
      <alignment horizontal="left" vertical="center" wrapText="1"/>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0" fontId="40" fillId="0" borderId="54" xfId="67" applyNumberFormat="1" applyFont="1" applyFill="1" applyBorder="1" applyAlignment="1">
      <alignment horizontal="center" vertical="center"/>
    </xf>
    <xf numFmtId="171" fontId="41" fillId="0" borderId="54" xfId="67" applyNumberFormat="1" applyFont="1" applyFill="1" applyBorder="1" applyAlignment="1">
      <alignment vertical="center"/>
    </xf>
    <xf numFmtId="172" fontId="41" fillId="0" borderId="54" xfId="67" applyNumberFormat="1" applyFont="1" applyFill="1" applyBorder="1" applyAlignment="1">
      <alignment vertical="center"/>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56" fillId="0" borderId="54" xfId="62" applyFont="1" applyBorder="1" applyAlignment="1">
      <alignment wrapText="1"/>
    </xf>
    <xf numFmtId="4" fontId="56" fillId="26" borderId="54" xfId="62" applyNumberFormat="1" applyFont="1" applyFill="1" applyBorder="1" applyAlignment="1">
      <alignment horizontal="center"/>
    </xf>
    <xf numFmtId="3" fontId="56" fillId="26" borderId="54" xfId="62" applyNumberFormat="1" applyFont="1" applyFill="1" applyBorder="1" applyAlignment="1">
      <alignment horizontal="center"/>
    </xf>
    <xf numFmtId="0" fontId="56" fillId="0" borderId="49" xfId="62" applyFont="1" applyBorder="1" applyAlignment="1">
      <alignment wrapText="1"/>
    </xf>
    <xf numFmtId="3" fontId="56" fillId="0" borderId="49" xfId="62" applyNumberFormat="1" applyFont="1" applyFill="1" applyBorder="1"/>
    <xf numFmtId="4" fontId="56" fillId="0" borderId="54" xfId="62" applyNumberFormat="1" applyFont="1" applyFill="1" applyBorder="1" applyAlignment="1">
      <alignment horizontal="center"/>
    </xf>
    <xf numFmtId="4" fontId="56" fillId="25" borderId="54" xfId="62" applyNumberFormat="1" applyFont="1" applyFill="1" applyBorder="1" applyAlignment="1">
      <alignment horizontal="center"/>
    </xf>
    <xf numFmtId="10" fontId="56" fillId="25" borderId="54" xfId="62" applyNumberFormat="1" applyFont="1" applyFill="1" applyBorder="1" applyAlignment="1">
      <alignment horizontal="center"/>
    </xf>
    <xf numFmtId="0" fontId="56" fillId="0" borderId="54" xfId="62" applyFont="1" applyBorder="1"/>
    <xf numFmtId="0" fontId="56" fillId="29" borderId="54" xfId="62" applyFont="1" applyFill="1" applyBorder="1"/>
    <xf numFmtId="10" fontId="56" fillId="29" borderId="54" xfId="62" applyNumberFormat="1" applyFont="1" applyFill="1" applyBorder="1"/>
    <xf numFmtId="10" fontId="36" fillId="29" borderId="54" xfId="67" applyNumberFormat="1" applyFont="1" applyFill="1" applyBorder="1" applyAlignment="1">
      <alignment vertical="center"/>
    </xf>
    <xf numFmtId="0" fontId="56" fillId="0" borderId="49" xfId="62" applyFont="1" applyFill="1" applyBorder="1"/>
    <xf numFmtId="10" fontId="56" fillId="0" borderId="49" xfId="62" applyNumberFormat="1" applyFont="1" applyFill="1" applyBorder="1"/>
    <xf numFmtId="3" fontId="7" fillId="29" borderId="54" xfId="67" applyNumberFormat="1" applyFont="1" applyFill="1" applyBorder="1" applyAlignment="1">
      <alignment horizontal="right" vertical="center"/>
    </xf>
    <xf numFmtId="167" fontId="36" fillId="29" borderId="54" xfId="67" applyNumberFormat="1" applyFont="1" applyFill="1" applyBorder="1" applyAlignment="1">
      <alignment horizontal="right" vertical="center"/>
    </xf>
    <xf numFmtId="168" fontId="37" fillId="0" borderId="1" xfId="49" applyNumberFormat="1" applyFont="1" applyFill="1" applyBorder="1" applyAlignment="1">
      <alignment horizontal="center" vertical="center"/>
    </xf>
    <xf numFmtId="0" fontId="42"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2" xfId="62" applyFont="1" applyFill="1" applyBorder="1" applyAlignment="1">
      <alignment horizontal="center" vertical="center" wrapText="1"/>
    </xf>
    <xf numFmtId="0" fontId="45" fillId="0" borderId="0" xfId="62" applyFont="1" applyBorder="1" applyAlignment="1">
      <alignment horizontal="left"/>
    </xf>
    <xf numFmtId="0" fontId="12" fillId="0" borderId="0" xfId="62" applyNumberFormat="1" applyFont="1" applyFill="1" applyBorder="1" applyAlignment="1">
      <alignment horizontal="left"/>
    </xf>
    <xf numFmtId="0" fontId="11" fillId="0" borderId="0" xfId="62" applyFont="1" applyBorder="1" applyAlignment="1">
      <alignment horizontal="left" vertical="top" wrapText="1"/>
    </xf>
    <xf numFmtId="0" fontId="11" fillId="0" borderId="0" xfId="62" applyFont="1" applyBorder="1" applyAlignment="1">
      <alignment horizontal="center" vertical="top"/>
    </xf>
    <xf numFmtId="0" fontId="11" fillId="0" borderId="0" xfId="62" applyFont="1" applyBorder="1" applyAlignment="1">
      <alignment horizontal="center" vertical="top" wrapText="1"/>
    </xf>
    <xf numFmtId="0" fontId="11" fillId="0" borderId="50" xfId="62" applyFont="1" applyBorder="1" applyAlignment="1">
      <alignment horizontal="center" vertical="top"/>
    </xf>
    <xf numFmtId="0" fontId="42" fillId="0" borderId="48" xfId="62" applyFont="1" applyBorder="1" applyAlignment="1">
      <alignment horizontal="center" vertical="center" wrapText="1"/>
    </xf>
    <xf numFmtId="0" fontId="42" fillId="0" borderId="54" xfId="62" applyFont="1" applyBorder="1" applyAlignment="1">
      <alignment horizontal="center" vertical="center" wrapText="1"/>
    </xf>
    <xf numFmtId="0" fontId="42" fillId="0" borderId="54" xfId="62" applyFont="1" applyFill="1" applyBorder="1" applyAlignment="1">
      <alignment horizontal="center" vertical="center" wrapText="1"/>
    </xf>
    <xf numFmtId="0" fontId="42" fillId="0" borderId="50" xfId="62" applyFont="1" applyBorder="1" applyAlignment="1">
      <alignment horizontal="center" vertical="top"/>
    </xf>
    <xf numFmtId="0" fontId="40" fillId="0" borderId="31" xfId="2" applyFont="1" applyFill="1" applyBorder="1" applyAlignment="1">
      <alignment horizontal="justify"/>
    </xf>
    <xf numFmtId="0" fontId="2" fillId="0" borderId="50" xfId="0" applyFont="1" applyBorder="1" applyAlignment="1">
      <alignment horizontal="center" vertical="center"/>
    </xf>
    <xf numFmtId="0" fontId="2" fillId="0" borderId="54" xfId="0" applyFont="1" applyBorder="1" applyAlignment="1">
      <alignment horizontal="center" vertical="center" wrapText="1"/>
    </xf>
    <xf numFmtId="0" fontId="2" fillId="0" borderId="54" xfId="0" applyFont="1" applyBorder="1" applyAlignment="1">
      <alignment horizontal="center" vertical="center"/>
    </xf>
    <xf numFmtId="0" fontId="2" fillId="0" borderId="50" xfId="0" applyFont="1" applyFill="1" applyBorder="1" applyAlignment="1">
      <alignment horizontal="center" vertical="center" wrapText="1"/>
    </xf>
    <xf numFmtId="0" fontId="2" fillId="0" borderId="52" xfId="0" applyFont="1" applyBorder="1" applyAlignment="1">
      <alignment horizontal="center" vertical="center" wrapText="1"/>
    </xf>
    <xf numFmtId="0" fontId="11" fillId="0" borderId="59" xfId="1" applyFont="1" applyBorder="1" applyAlignment="1">
      <alignment horizontal="left" vertical="center" wrapText="1"/>
    </xf>
    <xf numFmtId="0" fontId="73" fillId="0" borderId="0" xfId="0" applyFont="1" applyFill="1" applyAlignment="1">
      <alignment vertical="center" wrapText="1"/>
    </xf>
    <xf numFmtId="0" fontId="39" fillId="0" borderId="1" xfId="1"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8" fillId="0" borderId="0" xfId="2" applyFont="1" applyFill="1" applyAlignment="1">
      <alignment vertical="center"/>
    </xf>
    <xf numFmtId="0" fontId="42" fillId="0" borderId="68" xfId="2" applyFont="1" applyFill="1" applyBorder="1" applyAlignment="1">
      <alignment horizontal="center" vertical="center" wrapText="1"/>
    </xf>
    <xf numFmtId="49" fontId="42" fillId="0" borderId="68" xfId="2" applyNumberFormat="1" applyFont="1" applyFill="1" applyBorder="1" applyAlignment="1">
      <alignment horizontal="center" vertical="center" wrapText="1"/>
    </xf>
    <xf numFmtId="0" fontId="42" fillId="0" borderId="68" xfId="2" applyFont="1" applyFill="1" applyBorder="1" applyAlignment="1">
      <alignment horizontal="left" vertical="center" wrapText="1"/>
    </xf>
    <xf numFmtId="178" fontId="42" fillId="0" borderId="68" xfId="2" applyNumberFormat="1" applyFont="1" applyFill="1" applyBorder="1" applyAlignment="1">
      <alignment horizontal="center" vertical="center" wrapText="1"/>
    </xf>
    <xf numFmtId="178" fontId="39" fillId="0" borderId="68" xfId="2" applyNumberFormat="1" applyFont="1" applyFill="1" applyBorder="1" applyAlignment="1">
      <alignment horizontal="center" vertical="center" wrapText="1"/>
    </xf>
    <xf numFmtId="49" fontId="11" fillId="0" borderId="68" xfId="2" applyNumberFormat="1" applyFont="1" applyFill="1" applyBorder="1" applyAlignment="1">
      <alignment horizontal="center" vertical="center" wrapText="1"/>
    </xf>
    <xf numFmtId="0" fontId="11" fillId="0" borderId="68" xfId="2" applyFont="1" applyFill="1" applyBorder="1" applyAlignment="1">
      <alignment horizontal="left" vertical="center" wrapText="1"/>
    </xf>
    <xf numFmtId="178" fontId="11" fillId="0" borderId="68" xfId="2" applyNumberFormat="1" applyFont="1" applyFill="1" applyBorder="1" applyAlignment="1">
      <alignment horizontal="center" vertical="center" wrapText="1"/>
    </xf>
    <xf numFmtId="0" fontId="76" fillId="0" borderId="68" xfId="45" applyFont="1" applyFill="1" applyBorder="1" applyAlignment="1">
      <alignment horizontal="left" vertical="center" wrapText="1"/>
    </xf>
    <xf numFmtId="0" fontId="43" fillId="0" borderId="68" xfId="45" applyFont="1" applyFill="1" applyBorder="1" applyAlignment="1">
      <alignment horizontal="left" vertical="center" wrapText="1"/>
    </xf>
    <xf numFmtId="0" fontId="76" fillId="0" borderId="2" xfId="45" applyFont="1" applyFill="1" applyBorder="1" applyAlignment="1">
      <alignment horizontal="left" vertical="center" wrapText="1"/>
    </xf>
    <xf numFmtId="0" fontId="40" fillId="0" borderId="68" xfId="49" applyFont="1" applyBorder="1" applyAlignment="1">
      <alignment horizontal="center" vertical="center" wrapText="1"/>
    </xf>
    <xf numFmtId="0" fontId="36" fillId="0" borderId="68" xfId="0" applyFont="1" applyBorder="1" applyAlignment="1">
      <alignment horizontal="center" vertical="center" wrapText="1"/>
    </xf>
    <xf numFmtId="49" fontId="40" fillId="0" borderId="68" xfId="0" applyNumberFormat="1" applyFont="1" applyFill="1" applyBorder="1" applyAlignment="1">
      <alignment horizontal="center" vertical="center" wrapText="1"/>
    </xf>
    <xf numFmtId="4" fontId="40" fillId="0" borderId="68" xfId="0" applyNumberFormat="1" applyFont="1" applyFill="1" applyBorder="1" applyAlignment="1">
      <alignment horizontal="center" vertical="center"/>
    </xf>
    <xf numFmtId="49" fontId="40" fillId="0" borderId="68" xfId="0" applyNumberFormat="1" applyFont="1" applyFill="1" applyBorder="1" applyAlignment="1">
      <alignment horizontal="center" vertical="center"/>
    </xf>
    <xf numFmtId="14" fontId="79" fillId="0" borderId="68" xfId="142" applyNumberFormat="1" applyFont="1" applyFill="1" applyBorder="1" applyAlignment="1">
      <alignment horizontal="center" vertical="center" wrapText="1"/>
    </xf>
    <xf numFmtId="14" fontId="40" fillId="0" borderId="68" xfId="0" applyNumberFormat="1" applyFont="1" applyFill="1" applyBorder="1" applyAlignment="1">
      <alignment horizontal="center" vertical="center"/>
    </xf>
    <xf numFmtId="4" fontId="80" fillId="0" borderId="68" xfId="0" applyNumberFormat="1" applyFont="1" applyFill="1" applyBorder="1" applyAlignment="1">
      <alignment horizontal="center" vertical="center"/>
    </xf>
    <xf numFmtId="14" fontId="79" fillId="0" borderId="68" xfId="142" applyNumberFormat="1" applyFont="1" applyFill="1" applyBorder="1" applyAlignment="1">
      <alignment horizontal="center" vertical="center"/>
    </xf>
    <xf numFmtId="0" fontId="40" fillId="31" borderId="30" xfId="2" applyFont="1" applyFill="1" applyBorder="1" applyAlignment="1">
      <alignment horizontal="justify" vertical="top" wrapText="1"/>
    </xf>
    <xf numFmtId="2" fontId="40" fillId="31" borderId="46" xfId="2" applyNumberFormat="1" applyFont="1" applyFill="1" applyBorder="1" applyAlignment="1">
      <alignment horizontal="left" vertical="center" wrapText="1"/>
    </xf>
    <xf numFmtId="0" fontId="7" fillId="0" borderId="70" xfId="1" applyFont="1" applyBorder="1" applyAlignment="1">
      <alignment horizontal="left" vertical="center" wrapText="1"/>
    </xf>
    <xf numFmtId="0" fontId="11" fillId="0" borderId="70" xfId="1" applyFont="1" applyBorder="1" applyAlignment="1">
      <alignment horizontal="left" vertical="center" wrapText="1"/>
    </xf>
    <xf numFmtId="0" fontId="74" fillId="0" borderId="70" xfId="0" applyFont="1" applyBorder="1" applyAlignment="1">
      <alignment horizontal="center" vertical="center" wrapText="1"/>
    </xf>
    <xf numFmtId="168" fontId="74" fillId="0" borderId="70" xfId="0" applyNumberFormat="1" applyFont="1" applyBorder="1" applyAlignment="1">
      <alignment horizontal="center" vertical="center"/>
    </xf>
    <xf numFmtId="174" fontId="74" fillId="0" borderId="70" xfId="0" applyNumberFormat="1" applyFont="1" applyBorder="1" applyAlignment="1">
      <alignment horizontal="center" vertical="center"/>
    </xf>
    <xf numFmtId="177" fontId="74" fillId="0" borderId="70" xfId="0" applyNumberFormat="1" applyFont="1" applyBorder="1" applyAlignment="1">
      <alignment horizontal="center" vertical="center"/>
    </xf>
    <xf numFmtId="49" fontId="74" fillId="0" borderId="71" xfId="0" applyNumberFormat="1" applyFont="1" applyBorder="1" applyAlignment="1">
      <alignment horizontal="center" vertical="center"/>
    </xf>
    <xf numFmtId="49" fontId="74" fillId="0" borderId="71" xfId="0" applyNumberFormat="1" applyFont="1" applyBorder="1" applyAlignment="1">
      <alignment horizontal="center" vertical="center" wrapText="1"/>
    </xf>
    <xf numFmtId="0" fontId="74" fillId="0" borderId="71" xfId="0" applyFont="1" applyBorder="1" applyAlignment="1">
      <alignment horizontal="center" vertical="center"/>
    </xf>
    <xf numFmtId="0" fontId="74" fillId="0" borderId="71" xfId="0" applyFont="1" applyBorder="1" applyAlignment="1">
      <alignment horizontal="center" vertical="center" wrapText="1"/>
    </xf>
    <xf numFmtId="175" fontId="74" fillId="0" borderId="71" xfId="0" applyNumberFormat="1" applyFont="1" applyBorder="1" applyAlignment="1">
      <alignment horizontal="center" vertical="center"/>
    </xf>
    <xf numFmtId="177" fontId="74" fillId="0" borderId="71" xfId="0" applyNumberFormat="1" applyFont="1" applyBorder="1" applyAlignment="1">
      <alignment horizontal="center" vertical="center"/>
    </xf>
    <xf numFmtId="177" fontId="74" fillId="0" borderId="71" xfId="0" applyNumberFormat="1" applyFont="1" applyBorder="1" applyAlignment="1">
      <alignment horizontal="center" vertical="center" wrapText="1"/>
    </xf>
    <xf numFmtId="174" fontId="73" fillId="0" borderId="70" xfId="0" applyNumberFormat="1" applyFont="1" applyFill="1" applyBorder="1" applyAlignment="1">
      <alignment horizontal="center" vertical="center"/>
    </xf>
    <xf numFmtId="0" fontId="75" fillId="0" borderId="70" xfId="0" applyFont="1" applyBorder="1" applyAlignment="1">
      <alignment wrapText="1"/>
    </xf>
    <xf numFmtId="0" fontId="75" fillId="0" borderId="70" xfId="0" applyFont="1" applyBorder="1" applyAlignment="1">
      <alignment horizontal="center" vertical="center"/>
    </xf>
    <xf numFmtId="176" fontId="75" fillId="0" borderId="70" xfId="0" applyNumberFormat="1" applyFont="1" applyBorder="1" applyAlignment="1">
      <alignment horizontal="center" vertical="center"/>
    </xf>
    <xf numFmtId="0" fontId="75" fillId="27" borderId="70" xfId="0" applyFont="1" applyFill="1" applyBorder="1" applyAlignment="1">
      <alignment horizontal="center" vertical="center"/>
    </xf>
    <xf numFmtId="177" fontId="75" fillId="0" borderId="70" xfId="0" applyNumberFormat="1" applyFont="1" applyBorder="1" applyAlignment="1">
      <alignment horizontal="center" vertical="center"/>
    </xf>
    <xf numFmtId="49" fontId="75" fillId="0" borderId="71" xfId="0" applyNumberFormat="1" applyFont="1" applyBorder="1" applyAlignment="1">
      <alignment horizontal="center" vertical="center"/>
    </xf>
    <xf numFmtId="49" fontId="75" fillId="0" borderId="71" xfId="0" applyNumberFormat="1" applyFont="1" applyBorder="1" applyAlignment="1">
      <alignment horizontal="center" vertical="center" wrapText="1"/>
    </xf>
    <xf numFmtId="174" fontId="73" fillId="0" borderId="71" xfId="0" applyNumberFormat="1" applyFont="1" applyFill="1" applyBorder="1" applyAlignment="1">
      <alignment horizontal="center" vertical="center"/>
    </xf>
    <xf numFmtId="0" fontId="73" fillId="0" borderId="70" xfId="0" applyFont="1" applyFill="1" applyBorder="1" applyAlignment="1">
      <alignment vertical="center" wrapText="1"/>
    </xf>
    <xf numFmtId="0" fontId="74" fillId="27" borderId="71" xfId="0" applyFont="1" applyFill="1" applyBorder="1" applyAlignment="1">
      <alignment horizontal="center" vertical="center"/>
    </xf>
    <xf numFmtId="0" fontId="75" fillId="0" borderId="71" xfId="0" applyFont="1" applyBorder="1" applyAlignment="1">
      <alignment horizontal="center" vertical="center"/>
    </xf>
    <xf numFmtId="0" fontId="75" fillId="0" borderId="71" xfId="0" applyFont="1" applyBorder="1" applyAlignment="1">
      <alignment horizontal="center" vertical="center" wrapText="1"/>
    </xf>
    <xf numFmtId="0" fontId="74" fillId="0" borderId="71" xfId="0" applyFont="1" applyBorder="1" applyAlignment="1">
      <alignment horizontal="center"/>
    </xf>
    <xf numFmtId="0" fontId="81" fillId="0" borderId="70" xfId="0" applyFont="1" applyBorder="1" applyAlignment="1">
      <alignment horizontal="center" vertical="center" wrapText="1"/>
    </xf>
    <xf numFmtId="0" fontId="60" fillId="0" borderId="0" xfId="67" applyFont="1" applyFill="1" applyBorder="1" applyAlignment="1">
      <alignment vertical="center" wrapText="1"/>
    </xf>
    <xf numFmtId="167" fontId="82" fillId="0" borderId="0" xfId="67" applyNumberFormat="1" applyFont="1" applyFill="1" applyBorder="1" applyAlignment="1">
      <alignment horizontal="center" vertical="center"/>
    </xf>
    <xf numFmtId="1" fontId="11" fillId="30" borderId="72" xfId="62" applyNumberFormat="1" applyFont="1" applyFill="1" applyBorder="1" applyAlignment="1">
      <alignment horizontal="left" vertical="center" wrapText="1"/>
    </xf>
    <xf numFmtId="0" fontId="11" fillId="0" borderId="72" xfId="1" applyFont="1" applyBorder="1" applyAlignment="1">
      <alignment horizontal="left" vertical="center" wrapText="1"/>
    </xf>
    <xf numFmtId="2" fontId="7" fillId="0" borderId="72" xfId="1" applyNumberFormat="1" applyFont="1" applyFill="1" applyBorder="1" applyAlignment="1">
      <alignment horizontal="left" vertical="center" wrapText="1"/>
    </xf>
    <xf numFmtId="0" fontId="7" fillId="0" borderId="72" xfId="1" applyFont="1" applyFill="1" applyBorder="1" applyAlignment="1">
      <alignment vertical="center" wrapText="1"/>
    </xf>
    <xf numFmtId="0" fontId="40" fillId="32" borderId="30" xfId="2" applyFont="1" applyFill="1" applyBorder="1" applyAlignment="1">
      <alignment horizontal="justify" vertical="top" wrapText="1"/>
    </xf>
    <xf numFmtId="4" fontId="40" fillId="32" borderId="30" xfId="2" applyNumberFormat="1" applyFont="1" applyFill="1" applyBorder="1" applyAlignment="1">
      <alignment horizontal="justify" vertical="top" wrapText="1"/>
    </xf>
    <xf numFmtId="0" fontId="42" fillId="0" borderId="74" xfId="2" applyFont="1" applyFill="1" applyBorder="1" applyAlignment="1">
      <alignment horizontal="center" vertical="center" wrapText="1"/>
    </xf>
    <xf numFmtId="0" fontId="11" fillId="0" borderId="74" xfId="2" applyFont="1" applyFill="1" applyBorder="1" applyAlignment="1">
      <alignment horizontal="center" vertical="center" wrapText="1"/>
    </xf>
    <xf numFmtId="0" fontId="42" fillId="0" borderId="73" xfId="2" applyFont="1" applyFill="1" applyBorder="1" applyAlignment="1">
      <alignment horizontal="center" vertical="center" textRotation="90" wrapText="1"/>
    </xf>
    <xf numFmtId="0" fontId="42" fillId="0" borderId="73" xfId="2" applyFont="1" applyFill="1" applyBorder="1" applyAlignment="1">
      <alignment horizontal="center" vertical="center" wrapText="1"/>
    </xf>
    <xf numFmtId="0" fontId="11" fillId="0" borderId="77" xfId="2" applyFont="1" applyFill="1" applyBorder="1" applyAlignment="1">
      <alignment horizontal="center" vertical="center"/>
    </xf>
    <xf numFmtId="14" fontId="11" fillId="0" borderId="77" xfId="2" applyNumberFormat="1" applyFont="1" applyBorder="1" applyAlignment="1">
      <alignment horizontal="center" vertical="center" wrapText="1"/>
    </xf>
    <xf numFmtId="14" fontId="11" fillId="0" borderId="77" xfId="2" applyNumberFormat="1" applyFont="1" applyFill="1" applyBorder="1" applyAlignment="1">
      <alignment horizontal="center" vertical="center" wrapText="1"/>
    </xf>
    <xf numFmtId="14" fontId="11" fillId="30" borderId="77" xfId="2" applyNumberFormat="1" applyFont="1" applyFill="1" applyBorder="1" applyAlignment="1">
      <alignment horizontal="center" vertical="center" wrapText="1"/>
    </xf>
    <xf numFmtId="14" fontId="11" fillId="30" borderId="77" xfId="2" applyNumberFormat="1" applyFont="1" applyFill="1" applyBorder="1" applyAlignment="1">
      <alignment horizontal="center" vertical="center"/>
    </xf>
    <xf numFmtId="14" fontId="11" fillId="0" borderId="77" xfId="2" applyNumberFormat="1" applyFont="1" applyFill="1" applyBorder="1" applyAlignment="1">
      <alignment horizontal="center" vertical="center"/>
    </xf>
    <xf numFmtId="3" fontId="83" fillId="0" borderId="49" xfId="67" applyNumberFormat="1" applyFont="1" applyFill="1" applyBorder="1" applyAlignment="1">
      <alignment horizontal="center" vertical="center"/>
    </xf>
    <xf numFmtId="0" fontId="83" fillId="0" borderId="77" xfId="67" applyFont="1" applyFill="1" applyBorder="1" applyAlignment="1">
      <alignment horizontal="center" vertical="center"/>
    </xf>
    <xf numFmtId="0" fontId="84" fillId="0" borderId="77" xfId="62" applyFont="1" applyFill="1" applyBorder="1" applyAlignment="1">
      <alignment horizontal="center"/>
    </xf>
    <xf numFmtId="0" fontId="85" fillId="33" borderId="77" xfId="62" applyFont="1" applyFill="1" applyBorder="1" applyAlignment="1">
      <alignment horizontal="left" vertical="center" wrapText="1"/>
    </xf>
    <xf numFmtId="10" fontId="85" fillId="33" borderId="77" xfId="62" applyNumberFormat="1" applyFont="1" applyFill="1" applyBorder="1"/>
    <xf numFmtId="3" fontId="7" fillId="24" borderId="54" xfId="67" applyNumberFormat="1" applyFont="1" applyFill="1" applyBorder="1" applyAlignment="1">
      <alignment horizontal="right" vertical="center"/>
    </xf>
    <xf numFmtId="167" fontId="36" fillId="24" borderId="54" xfId="67" applyNumberFormat="1" applyFont="1" applyFill="1" applyBorder="1" applyAlignment="1">
      <alignment horizontal="right" vertical="center"/>
    </xf>
    <xf numFmtId="10" fontId="36" fillId="24" borderId="54" xfId="67" applyNumberFormat="1" applyFont="1" applyFill="1" applyBorder="1" applyAlignment="1">
      <alignment vertical="center"/>
    </xf>
    <xf numFmtId="0" fontId="44" fillId="0" borderId="77" xfId="62" applyBorder="1" applyAlignment="1">
      <alignment horizontal="left" vertical="center" wrapText="1"/>
    </xf>
    <xf numFmtId="0" fontId="44" fillId="26" borderId="77" xfId="62" applyFill="1" applyBorder="1" applyAlignment="1">
      <alignment horizontal="center" vertical="center" wrapText="1"/>
    </xf>
    <xf numFmtId="0" fontId="44" fillId="0" borderId="77" xfId="62" applyBorder="1" applyAlignment="1">
      <alignment horizontal="center" vertical="center" wrapText="1"/>
    </xf>
    <xf numFmtId="4" fontId="44" fillId="0" borderId="77" xfId="62" applyNumberFormat="1" applyBorder="1" applyAlignment="1">
      <alignment horizontal="center" vertical="center"/>
    </xf>
    <xf numFmtId="0" fontId="44" fillId="0" borderId="77" xfId="62" applyFont="1" applyFill="1" applyBorder="1" applyAlignment="1">
      <alignment horizontal="left" vertical="center" wrapText="1"/>
    </xf>
    <xf numFmtId="0" fontId="44" fillId="33" borderId="77" xfId="62" applyFont="1" applyFill="1" applyBorder="1" applyAlignment="1">
      <alignment horizontal="center" vertical="center"/>
    </xf>
    <xf numFmtId="0" fontId="44" fillId="24" borderId="54" xfId="62" applyFill="1" applyBorder="1" applyAlignment="1">
      <alignment horizontal="center" vertical="center"/>
    </xf>
    <xf numFmtId="0" fontId="44" fillId="24" borderId="77" xfId="62" applyFill="1" applyBorder="1" applyAlignment="1">
      <alignment horizontal="center" vertical="center" wrapText="1"/>
    </xf>
    <xf numFmtId="4" fontId="44" fillId="24" borderId="77" xfId="62" applyNumberFormat="1" applyFill="1" applyBorder="1" applyAlignment="1">
      <alignment horizontal="center" vertical="center"/>
    </xf>
    <xf numFmtId="4" fontId="44" fillId="24" borderId="54" xfId="62" applyNumberFormat="1" applyFill="1" applyBorder="1" applyAlignment="1">
      <alignment horizontal="center" vertical="center"/>
    </xf>
    <xf numFmtId="0" fontId="40" fillId="0" borderId="77" xfId="0" applyFont="1" applyFill="1" applyBorder="1" applyAlignment="1">
      <alignment horizontal="center" vertical="center" wrapText="1"/>
    </xf>
    <xf numFmtId="0" fontId="40" fillId="0" borderId="77" xfId="62" applyFont="1" applyFill="1" applyBorder="1" applyAlignment="1">
      <alignment horizontal="center" vertical="center" wrapText="1"/>
    </xf>
    <xf numFmtId="0" fontId="11" fillId="0" borderId="0" xfId="62" applyFont="1" applyFill="1" applyAlignment="1">
      <alignment horizontal="left" vertical="center"/>
    </xf>
    <xf numFmtId="0" fontId="40" fillId="0" borderId="79" xfId="0" applyFont="1" applyFill="1" applyBorder="1" applyAlignment="1">
      <alignment horizontal="center" vertical="center" wrapText="1"/>
    </xf>
    <xf numFmtId="0" fontId="40" fillId="0" borderId="79" xfId="62" applyFont="1" applyFill="1" applyBorder="1" applyAlignment="1">
      <alignment horizontal="center" vertical="center" wrapText="1"/>
    </xf>
    <xf numFmtId="0" fontId="40" fillId="0" borderId="79" xfId="62" applyFont="1" applyFill="1" applyBorder="1" applyAlignment="1">
      <alignment horizontal="center" vertical="center"/>
    </xf>
    <xf numFmtId="0" fontId="11" fillId="0" borderId="79" xfId="62" applyFont="1" applyBorder="1" applyAlignment="1">
      <alignment horizontal="center" vertical="center"/>
    </xf>
    <xf numFmtId="0" fontId="11" fillId="0" borderId="79" xfId="62" applyFont="1" applyFill="1" applyBorder="1" applyAlignment="1">
      <alignment horizontal="center" vertical="center" wrapText="1"/>
    </xf>
    <xf numFmtId="168" fontId="11" fillId="0" borderId="79" xfId="62" applyNumberFormat="1" applyFont="1" applyBorder="1" applyAlignment="1">
      <alignment horizontal="center" vertical="center"/>
    </xf>
    <xf numFmtId="0" fontId="11" fillId="0" borderId="79" xfId="62" applyFont="1" applyFill="1" applyBorder="1" applyAlignment="1">
      <alignment horizontal="center" vertical="center"/>
    </xf>
    <xf numFmtId="49" fontId="11" fillId="0" borderId="79" xfId="62" applyNumberFormat="1" applyFont="1" applyFill="1" applyBorder="1" applyAlignment="1">
      <alignment horizontal="center" vertical="center"/>
    </xf>
    <xf numFmtId="0" fontId="40" fillId="32" borderId="77" xfId="62" applyFont="1" applyFill="1" applyBorder="1" applyAlignment="1">
      <alignment horizontal="center" vertical="center"/>
    </xf>
    <xf numFmtId="0" fontId="40" fillId="32" borderId="79" xfId="62" applyFont="1" applyFill="1" applyBorder="1" applyAlignment="1">
      <alignment horizontal="center" vertical="center"/>
    </xf>
    <xf numFmtId="0" fontId="11" fillId="0" borderId="79" xfId="1" applyFont="1" applyFill="1" applyBorder="1" applyAlignment="1">
      <alignment horizontal="left" vertical="center" wrapText="1"/>
    </xf>
    <xf numFmtId="14" fontId="11" fillId="0" borderId="53" xfId="2" applyNumberFormat="1" applyFont="1" applyFill="1" applyBorder="1" applyAlignment="1">
      <alignment horizontal="center" vertical="center"/>
    </xf>
    <xf numFmtId="0" fontId="41" fillId="0" borderId="30" xfId="2" applyFont="1" applyFill="1" applyBorder="1" applyAlignment="1">
      <alignment horizontal="justify" vertical="center" wrapText="1"/>
    </xf>
    <xf numFmtId="0" fontId="42" fillId="0" borderId="0" xfId="2" applyFont="1" applyFill="1"/>
    <xf numFmtId="4" fontId="11" fillId="0" borderId="0" xfId="2" applyNumberFormat="1" applyFont="1" applyFill="1"/>
    <xf numFmtId="0" fontId="85" fillId="33" borderId="80" xfId="62" applyFont="1" applyFill="1" applyBorder="1" applyAlignment="1">
      <alignment horizontal="center" wrapText="1"/>
    </xf>
    <xf numFmtId="1" fontId="37" fillId="0" borderId="80" xfId="49" applyNumberFormat="1" applyFont="1" applyFill="1" applyBorder="1" applyAlignment="1">
      <alignment horizontal="center" vertical="center"/>
    </xf>
    <xf numFmtId="49" fontId="37" fillId="0" borderId="80" xfId="49" applyNumberFormat="1" applyFont="1" applyFill="1" applyBorder="1" applyAlignment="1">
      <alignment horizontal="center" vertical="center"/>
    </xf>
    <xf numFmtId="17" fontId="37" fillId="0" borderId="80" xfId="49" applyNumberFormat="1" applyFont="1" applyFill="1" applyBorder="1" applyAlignment="1">
      <alignment horizontal="center" vertical="center" wrapText="1"/>
    </xf>
    <xf numFmtId="168" fontId="37" fillId="0" borderId="80" xfId="49" applyNumberFormat="1" applyFont="1" applyFill="1" applyBorder="1" applyAlignment="1">
      <alignment horizontal="center" vertical="center"/>
    </xf>
    <xf numFmtId="0" fontId="40" fillId="0" borderId="80" xfId="49" applyFont="1" applyBorder="1" applyAlignment="1">
      <alignment horizontal="center" vertical="center" wrapText="1"/>
    </xf>
    <xf numFmtId="0" fontId="36" fillId="0" borderId="80" xfId="0" applyFont="1" applyBorder="1" applyAlignment="1">
      <alignment horizontal="center" vertical="center" wrapText="1"/>
    </xf>
    <xf numFmtId="49" fontId="40" fillId="0" borderId="80" xfId="0" applyNumberFormat="1" applyFont="1" applyFill="1" applyBorder="1" applyAlignment="1">
      <alignment horizontal="center" vertical="center" wrapText="1"/>
    </xf>
    <xf numFmtId="4" fontId="40" fillId="0" borderId="80" xfId="0" applyNumberFormat="1" applyFont="1" applyFill="1" applyBorder="1" applyAlignment="1">
      <alignment horizontal="center" vertical="center"/>
    </xf>
    <xf numFmtId="49" fontId="40" fillId="0" borderId="80" xfId="0" applyNumberFormat="1" applyFont="1" applyFill="1" applyBorder="1" applyAlignment="1">
      <alignment horizontal="center" vertical="center"/>
    </xf>
    <xf numFmtId="14" fontId="79" fillId="0" borderId="80" xfId="142" applyNumberFormat="1" applyFont="1" applyFill="1" applyBorder="1" applyAlignment="1">
      <alignment horizontal="center" vertical="center" wrapText="1"/>
    </xf>
    <xf numFmtId="14" fontId="40" fillId="0" borderId="80" xfId="0" applyNumberFormat="1" applyFont="1" applyFill="1" applyBorder="1" applyAlignment="1">
      <alignment horizontal="center" vertical="center"/>
    </xf>
    <xf numFmtId="0" fontId="13" fillId="24"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4" fillId="0" borderId="0" xfId="1" applyFont="1" applyFill="1" applyAlignment="1">
      <alignment horizontal="center" vertical="center"/>
    </xf>
    <xf numFmtId="0" fontId="67" fillId="0" borderId="0" xfId="1" applyFont="1" applyFill="1" applyAlignment="1">
      <alignment horizontal="center" vertical="center"/>
    </xf>
    <xf numFmtId="0" fontId="39" fillId="0" borderId="1" xfId="1" applyFont="1" applyBorder="1" applyAlignment="1">
      <alignment horizontal="center" vertical="center" wrapText="1"/>
    </xf>
    <xf numFmtId="0" fontId="54"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54"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2" fillId="0" borderId="5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5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48" xfId="62" applyFont="1" applyBorder="1" applyAlignment="1">
      <alignment horizontal="center" vertical="center" wrapText="1"/>
    </xf>
    <xf numFmtId="0" fontId="42" fillId="0" borderId="52" xfId="62" applyFont="1" applyBorder="1" applyAlignment="1">
      <alignment horizontal="center" vertical="center" wrapText="1"/>
    </xf>
    <xf numFmtId="0" fontId="42" fillId="0" borderId="49" xfId="62" applyFont="1" applyBorder="1" applyAlignment="1">
      <alignment horizontal="center" vertical="center" wrapText="1"/>
    </xf>
    <xf numFmtId="0" fontId="9" fillId="0" borderId="0" xfId="1" applyFont="1" applyAlignment="1">
      <alignment horizontal="center" vertical="center"/>
    </xf>
    <xf numFmtId="0" fontId="9" fillId="0" borderId="0" xfId="1" applyFont="1" applyAlignment="1">
      <alignment horizontal="center" vertical="center" wrapText="1"/>
    </xf>
    <xf numFmtId="0" fontId="11" fillId="0" borderId="20" xfId="62" applyFont="1" applyBorder="1" applyAlignment="1">
      <alignment horizontal="left" vertical="center"/>
    </xf>
    <xf numFmtId="0" fontId="40" fillId="0" borderId="78" xfId="0" applyFont="1" applyFill="1" applyBorder="1" applyAlignment="1">
      <alignment horizontal="center" vertical="center" wrapText="1"/>
    </xf>
    <xf numFmtId="0" fontId="40" fillId="0" borderId="6" xfId="0" applyFont="1" applyFill="1" applyBorder="1" applyAlignment="1">
      <alignment horizontal="center" vertical="center" wrapText="1"/>
    </xf>
    <xf numFmtId="0" fontId="40" fillId="0" borderId="2" xfId="0" applyFont="1" applyFill="1" applyBorder="1" applyAlignment="1">
      <alignment horizontal="center" vertical="center" wrapText="1"/>
    </xf>
    <xf numFmtId="168" fontId="40" fillId="0" borderId="78" xfId="62" applyNumberFormat="1" applyFont="1" applyFill="1" applyBorder="1" applyAlignment="1">
      <alignment horizontal="center" vertical="center"/>
    </xf>
    <xf numFmtId="168" fontId="40" fillId="0" borderId="6" xfId="62" applyNumberFormat="1" applyFont="1" applyFill="1" applyBorder="1" applyAlignment="1">
      <alignment horizontal="center" vertical="center"/>
    </xf>
    <xf numFmtId="168" fontId="40" fillId="0" borderId="2" xfId="62" applyNumberFormat="1" applyFont="1" applyFill="1" applyBorder="1" applyAlignment="1">
      <alignment horizontal="center" vertical="center"/>
    </xf>
    <xf numFmtId="0" fontId="11" fillId="0" borderId="78" xfId="62" applyFont="1" applyFill="1" applyBorder="1" applyAlignment="1">
      <alignment horizontal="center" vertical="center"/>
    </xf>
    <xf numFmtId="0" fontId="11" fillId="0" borderId="6" xfId="62" applyFont="1" applyFill="1" applyBorder="1" applyAlignment="1">
      <alignment horizontal="center" vertical="center"/>
    </xf>
    <xf numFmtId="0" fontId="11" fillId="0" borderId="2" xfId="62" applyFont="1" applyFill="1" applyBorder="1" applyAlignment="1">
      <alignment horizontal="center" vertical="center"/>
    </xf>
    <xf numFmtId="0" fontId="40" fillId="0" borderId="50" xfId="62" applyFont="1" applyFill="1" applyBorder="1" applyAlignment="1">
      <alignment horizontal="center" vertical="center"/>
    </xf>
    <xf numFmtId="0" fontId="40" fillId="0" borderId="6" xfId="62" applyFont="1" applyFill="1" applyBorder="1" applyAlignment="1">
      <alignment horizontal="center" vertical="center"/>
    </xf>
    <xf numFmtId="168" fontId="40" fillId="0" borderId="50" xfId="62" applyNumberFormat="1" applyFont="1" applyFill="1" applyBorder="1" applyAlignment="1">
      <alignment horizontal="center" vertical="center"/>
    </xf>
    <xf numFmtId="0" fontId="42" fillId="0" borderId="54" xfId="62" applyFont="1" applyBorder="1" applyAlignment="1">
      <alignment horizontal="center" vertical="center" wrapText="1"/>
    </xf>
    <xf numFmtId="0" fontId="40" fillId="0" borderId="50" xfId="62" applyFont="1" applyFill="1" applyBorder="1" applyAlignment="1">
      <alignment horizontal="center" vertical="center" wrapText="1"/>
    </xf>
    <xf numFmtId="0" fontId="40" fillId="0" borderId="6" xfId="62" applyFont="1" applyFill="1" applyBorder="1" applyAlignment="1">
      <alignment horizontal="center" vertical="center" wrapText="1"/>
    </xf>
    <xf numFmtId="0" fontId="2" fillId="0" borderId="48" xfId="0" applyFont="1" applyBorder="1" applyAlignment="1">
      <alignment horizontal="center" vertical="center"/>
    </xf>
    <xf numFmtId="0" fontId="2" fillId="0" borderId="49" xfId="0" applyFont="1" applyBorder="1" applyAlignment="1">
      <alignment horizontal="center" vertical="center"/>
    </xf>
    <xf numFmtId="0" fontId="2" fillId="0" borderId="52" xfId="0" applyFont="1" applyBorder="1" applyAlignment="1">
      <alignment horizontal="center" vertical="center"/>
    </xf>
    <xf numFmtId="0" fontId="2" fillId="0" borderId="54" xfId="0" applyFont="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39" fillId="0" borderId="68"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58" fillId="0" borderId="48" xfId="67" applyFont="1" applyFill="1" applyBorder="1" applyAlignment="1">
      <alignment horizontal="center" vertical="center" wrapText="1"/>
    </xf>
    <xf numFmtId="0" fontId="58" fillId="0" borderId="49" xfId="67" applyFont="1" applyFill="1" applyBorder="1" applyAlignment="1">
      <alignment horizontal="center" vertical="center" wrapText="1"/>
    </xf>
    <xf numFmtId="0" fontId="58" fillId="0" borderId="52" xfId="67" applyFont="1" applyFill="1" applyBorder="1" applyAlignment="1">
      <alignment horizontal="center" vertical="center" wrapText="1"/>
    </xf>
    <xf numFmtId="4" fontId="58" fillId="0" borderId="48" xfId="67" applyNumberFormat="1" applyFont="1" applyFill="1" applyBorder="1" applyAlignment="1">
      <alignment horizontal="center" vertical="center"/>
    </xf>
    <xf numFmtId="4" fontId="58" fillId="0" borderId="52"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58" fillId="28" borderId="0" xfId="0" applyFont="1" applyFill="1" applyAlignment="1">
      <alignment horizontal="center" vertical="center" wrapText="1"/>
    </xf>
    <xf numFmtId="3" fontId="58" fillId="0" borderId="48" xfId="67" applyNumberFormat="1" applyFont="1" applyFill="1" applyBorder="1" applyAlignment="1">
      <alignment horizontal="center" vertical="center"/>
    </xf>
    <xf numFmtId="3" fontId="58" fillId="0" borderId="52" xfId="67" applyNumberFormat="1" applyFont="1" applyFill="1" applyBorder="1" applyAlignment="1">
      <alignment horizontal="center" vertical="center"/>
    </xf>
    <xf numFmtId="0" fontId="58" fillId="0" borderId="48" xfId="67" applyFont="1" applyFill="1" applyBorder="1" applyAlignment="1">
      <alignment horizontal="center" vertical="center"/>
    </xf>
    <xf numFmtId="0" fontId="58" fillId="0" borderId="49" xfId="67" applyFont="1" applyFill="1" applyBorder="1" applyAlignment="1">
      <alignment horizontal="center" vertical="center"/>
    </xf>
    <xf numFmtId="0" fontId="58" fillId="0" borderId="52" xfId="67" applyFont="1" applyFill="1" applyBorder="1" applyAlignment="1">
      <alignment horizontal="center" vertical="center"/>
    </xf>
    <xf numFmtId="0" fontId="52" fillId="0" borderId="0" xfId="67" applyFont="1" applyFill="1" applyAlignment="1">
      <alignment horizontal="left" vertical="center" wrapText="1"/>
    </xf>
    <xf numFmtId="0" fontId="44" fillId="0" borderId="48" xfId="62" applyBorder="1" applyAlignment="1">
      <alignment horizontal="center" vertical="center" wrapText="1"/>
    </xf>
    <xf numFmtId="0" fontId="44" fillId="0" borderId="52"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47"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75" xfId="52" applyFont="1" applyFill="1" applyBorder="1" applyAlignment="1">
      <alignment horizontal="center" vertical="center"/>
    </xf>
    <xf numFmtId="0" fontId="42" fillId="0" borderId="76" xfId="52" applyFont="1" applyFill="1" applyBorder="1" applyAlignment="1">
      <alignment horizontal="center" vertical="center"/>
    </xf>
    <xf numFmtId="0" fontId="42" fillId="0" borderId="69"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73" xfId="2" applyFont="1" applyFill="1" applyBorder="1" applyAlignment="1">
      <alignment horizontal="center" vertical="center" wrapText="1"/>
    </xf>
    <xf numFmtId="0" fontId="42" fillId="0" borderId="73" xfId="2" applyFont="1" applyBorder="1" applyAlignment="1">
      <alignment horizontal="center" vertical="center"/>
    </xf>
    <xf numFmtId="0" fontId="39" fillId="0" borderId="74"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73"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8"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6" fillId="0" borderId="0" xfId="2" applyFont="1" applyFill="1" applyAlignment="1">
      <alignment horizontal="center"/>
    </xf>
    <xf numFmtId="0" fontId="46" fillId="0" borderId="0" xfId="1" applyFont="1" applyAlignment="1">
      <alignment horizontal="center" vertical="center"/>
    </xf>
    <xf numFmtId="0" fontId="55" fillId="0" borderId="0" xfId="1" applyFont="1" applyAlignment="1">
      <alignment horizontal="center" vertical="center"/>
    </xf>
    <xf numFmtId="0" fontId="11" fillId="0" borderId="0" xfId="1" applyFont="1" applyAlignment="1">
      <alignment horizontal="center" vertical="center"/>
    </xf>
    <xf numFmtId="0" fontId="55"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144">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1" xr:uid="{00000000-0005-0000-0000-00001A000000}"/>
    <cellStyle name="Ввод  2 2 2" xfId="120" xr:uid="{00000000-0005-0000-0000-00001B000000}"/>
    <cellStyle name="Ввод  2 2 3" xfId="101" xr:uid="{00000000-0005-0000-0000-00001C000000}"/>
    <cellStyle name="Ввод  2 3" xfId="127" xr:uid="{00000000-0005-0000-0000-00001D000000}"/>
    <cellStyle name="Ввод  2 4" xfId="119" xr:uid="{00000000-0005-0000-0000-00001E000000}"/>
    <cellStyle name="Ввод  2 5" xfId="130" xr:uid="{00000000-0005-0000-0000-00001F000000}"/>
    <cellStyle name="Ввод  2 6" xfId="112" xr:uid="{00000000-0005-0000-0000-000020000000}"/>
    <cellStyle name="Ввод  2 7" xfId="106" xr:uid="{00000000-0005-0000-0000-000021000000}"/>
    <cellStyle name="Ввод  2 8" xfId="87" xr:uid="{00000000-0005-0000-0000-000022000000}"/>
    <cellStyle name="Вывод 2" xfId="30" xr:uid="{00000000-0005-0000-0000-000023000000}"/>
    <cellStyle name="Вывод 2 2" xfId="82" xr:uid="{00000000-0005-0000-0000-000024000000}"/>
    <cellStyle name="Вывод 2 2 2" xfId="121" xr:uid="{00000000-0005-0000-0000-000025000000}"/>
    <cellStyle name="Вывод 2 2 3" xfId="102" xr:uid="{00000000-0005-0000-0000-000026000000}"/>
    <cellStyle name="Вывод 2 3" xfId="126" xr:uid="{00000000-0005-0000-0000-000027000000}"/>
    <cellStyle name="Вывод 2 4" xfId="123" xr:uid="{00000000-0005-0000-0000-000028000000}"/>
    <cellStyle name="Вывод 2 5" xfId="131" xr:uid="{00000000-0005-0000-0000-000029000000}"/>
    <cellStyle name="Вывод 2 6" xfId="113" xr:uid="{00000000-0005-0000-0000-00002A000000}"/>
    <cellStyle name="Вывод 2 7" xfId="107" xr:uid="{00000000-0005-0000-0000-00002B000000}"/>
    <cellStyle name="Вывод 2 8" xfId="88" xr:uid="{00000000-0005-0000-0000-00002C000000}"/>
    <cellStyle name="Вычисление 2" xfId="31" xr:uid="{00000000-0005-0000-0000-00002D000000}"/>
    <cellStyle name="Вычисление 2 2" xfId="83" xr:uid="{00000000-0005-0000-0000-00002E000000}"/>
    <cellStyle name="Вычисление 2 2 2" xfId="122" xr:uid="{00000000-0005-0000-0000-00002F000000}"/>
    <cellStyle name="Вычисление 2 2 3" xfId="103" xr:uid="{00000000-0005-0000-0000-000030000000}"/>
    <cellStyle name="Вычисление 2 3" xfId="118" xr:uid="{00000000-0005-0000-0000-000031000000}"/>
    <cellStyle name="Вычисление 2 4" xfId="124" xr:uid="{00000000-0005-0000-0000-000032000000}"/>
    <cellStyle name="Вычисление 2 5" xfId="132" xr:uid="{00000000-0005-0000-0000-000033000000}"/>
    <cellStyle name="Вычисление 2 6" xfId="114" xr:uid="{00000000-0005-0000-0000-000034000000}"/>
    <cellStyle name="Вычисление 2 7" xfId="108" xr:uid="{00000000-0005-0000-0000-000035000000}"/>
    <cellStyle name="Вычисление 2 8" xfId="89" xr:uid="{00000000-0005-0000-0000-000036000000}"/>
    <cellStyle name="Гиперссылка" xfId="142" builtinId="8"/>
    <cellStyle name="Заголовок 1 2" xfId="32" xr:uid="{00000000-0005-0000-0000-000038000000}"/>
    <cellStyle name="Заголовок 2 2" xfId="33" xr:uid="{00000000-0005-0000-0000-000039000000}"/>
    <cellStyle name="Заголовок 3 2" xfId="34" xr:uid="{00000000-0005-0000-0000-00003A000000}"/>
    <cellStyle name="Заголовок 4 2" xfId="35" xr:uid="{00000000-0005-0000-0000-00003B000000}"/>
    <cellStyle name="Итог 2" xfId="36" xr:uid="{00000000-0005-0000-0000-00003C000000}"/>
    <cellStyle name="Итог 2 2" xfId="84" xr:uid="{00000000-0005-0000-0000-00003D000000}"/>
    <cellStyle name="Итог 2 2 2" xfId="125" xr:uid="{00000000-0005-0000-0000-00003E000000}"/>
    <cellStyle name="Итог 2 2 3" xfId="104" xr:uid="{00000000-0005-0000-0000-00003F000000}"/>
    <cellStyle name="Итог 2 3" xfId="117" xr:uid="{00000000-0005-0000-0000-000040000000}"/>
    <cellStyle name="Итог 2 4" xfId="129" xr:uid="{00000000-0005-0000-0000-000041000000}"/>
    <cellStyle name="Итог 2 5" xfId="133" xr:uid="{00000000-0005-0000-0000-000042000000}"/>
    <cellStyle name="Итог 2 6" xfId="115" xr:uid="{00000000-0005-0000-0000-000043000000}"/>
    <cellStyle name="Итог 2 7" xfId="109" xr:uid="{00000000-0005-0000-0000-000044000000}"/>
    <cellStyle name="Итог 2 8" xfId="90" xr:uid="{00000000-0005-0000-0000-000045000000}"/>
    <cellStyle name="Контрольная ячейка 2" xfId="37" xr:uid="{00000000-0005-0000-0000-000046000000}"/>
    <cellStyle name="Название 2" xfId="38" xr:uid="{00000000-0005-0000-0000-000047000000}"/>
    <cellStyle name="Нейтральный 2" xfId="39" xr:uid="{00000000-0005-0000-0000-000048000000}"/>
    <cellStyle name="Обычный" xfId="0" builtinId="0"/>
    <cellStyle name="Обычный 12 2" xfId="40" xr:uid="{00000000-0005-0000-0000-00004A000000}"/>
    <cellStyle name="Обычный 19" xfId="139" xr:uid="{00000000-0005-0000-0000-00004B000000}"/>
    <cellStyle name="Обычный 2" xfId="3" xr:uid="{00000000-0005-0000-0000-00004C000000}"/>
    <cellStyle name="Обычный 2 2" xfId="62" xr:uid="{00000000-0005-0000-0000-00004D000000}"/>
    <cellStyle name="Обычный 2 2 2" xfId="95" xr:uid="{00000000-0005-0000-0000-00004E000000}"/>
    <cellStyle name="Обычный 2 3" xfId="71" xr:uid="{00000000-0005-0000-0000-00004F000000}"/>
    <cellStyle name="Обычный 2 3 2" xfId="99" xr:uid="{00000000-0005-0000-0000-000050000000}"/>
    <cellStyle name="Обычный 2 3 3" xfId="96" xr:uid="{00000000-0005-0000-0000-000051000000}"/>
    <cellStyle name="Обычный 2 4" xfId="69" xr:uid="{00000000-0005-0000-0000-000052000000}"/>
    <cellStyle name="Обычный 2 4 2" xfId="143" xr:uid="{F493C591-2B3B-4AEB-8BCC-07E971CA0924}"/>
    <cellStyle name="Обычный 2 5" xfId="76" xr:uid="{00000000-0005-0000-0000-000053000000}"/>
    <cellStyle name="Обычный 2 5 2" xfId="111" xr:uid="{00000000-0005-0000-0000-000054000000}"/>
    <cellStyle name="Обычный 3" xfId="2" xr:uid="{00000000-0005-0000-0000-000055000000}"/>
    <cellStyle name="Обычный 3 2" xfId="41" xr:uid="{00000000-0005-0000-0000-000056000000}"/>
    <cellStyle name="Обычный 3 2 2 2" xfId="42" xr:uid="{00000000-0005-0000-0000-000057000000}"/>
    <cellStyle name="Обычный 3 21" xfId="63" xr:uid="{00000000-0005-0000-0000-000058000000}"/>
    <cellStyle name="Обычный 3 3" xfId="77" xr:uid="{00000000-0005-0000-0000-000059000000}"/>
    <cellStyle name="Обычный 4" xfId="43" xr:uid="{00000000-0005-0000-0000-00005A000000}"/>
    <cellStyle name="Обычный 4 2" xfId="44" xr:uid="{00000000-0005-0000-0000-00005B000000}"/>
    <cellStyle name="Обычный 4 3" xfId="78" xr:uid="{00000000-0005-0000-0000-00005C000000}"/>
    <cellStyle name="Обычный 4 3 2" xfId="93" xr:uid="{00000000-0005-0000-0000-00005D000000}"/>
    <cellStyle name="Обычный 5" xfId="45" xr:uid="{00000000-0005-0000-0000-00005E000000}"/>
    <cellStyle name="Обычный 6" xfId="46" xr:uid="{00000000-0005-0000-0000-00005F000000}"/>
    <cellStyle name="Обычный 6 2" xfId="47" xr:uid="{00000000-0005-0000-0000-000060000000}"/>
    <cellStyle name="Обычный 6 2 2" xfId="48" xr:uid="{00000000-0005-0000-0000-000061000000}"/>
    <cellStyle name="Обычный 6 2 3" xfId="49" xr:uid="{00000000-0005-0000-0000-000062000000}"/>
    <cellStyle name="Обычный 7" xfId="1" xr:uid="{00000000-0005-0000-0000-000063000000}"/>
    <cellStyle name="Обычный 7 2" xfId="50" xr:uid="{00000000-0005-0000-0000-000064000000}"/>
    <cellStyle name="Обычный 8" xfId="51" xr:uid="{00000000-0005-0000-0000-000065000000}"/>
    <cellStyle name="Обычный 9" xfId="74" xr:uid="{00000000-0005-0000-0000-000066000000}"/>
    <cellStyle name="Обычный 9 2" xfId="80" xr:uid="{00000000-0005-0000-0000-000067000000}"/>
    <cellStyle name="Обычный 9 3" xfId="86" xr:uid="{00000000-0005-0000-0000-000068000000}"/>
    <cellStyle name="Обычный_Форматы по компаниям от 12.03" xfId="67" xr:uid="{00000000-0005-0000-0000-000069000000}"/>
    <cellStyle name="Обычный_Форматы по компаниям_last" xfId="52" xr:uid="{00000000-0005-0000-0000-00006A000000}"/>
    <cellStyle name="Плохой 2" xfId="53" xr:uid="{00000000-0005-0000-0000-00006B000000}"/>
    <cellStyle name="Пояснение 2" xfId="54" xr:uid="{00000000-0005-0000-0000-00006C000000}"/>
    <cellStyle name="Примечание 2" xfId="55" xr:uid="{00000000-0005-0000-0000-00006D000000}"/>
    <cellStyle name="Примечание 2 2" xfId="85" xr:uid="{00000000-0005-0000-0000-00006E000000}"/>
    <cellStyle name="Примечание 2 2 2" xfId="128" xr:uid="{00000000-0005-0000-0000-00006F000000}"/>
    <cellStyle name="Примечание 2 2 3" xfId="105" xr:uid="{00000000-0005-0000-0000-000070000000}"/>
    <cellStyle name="Примечание 2 3" xfId="134" xr:uid="{00000000-0005-0000-0000-000071000000}"/>
    <cellStyle name="Примечание 2 4" xfId="116" xr:uid="{00000000-0005-0000-0000-000072000000}"/>
    <cellStyle name="Примечание 2 5" xfId="110" xr:uid="{00000000-0005-0000-0000-000073000000}"/>
    <cellStyle name="Примечание 2 6" xfId="91" xr:uid="{00000000-0005-0000-0000-000074000000}"/>
    <cellStyle name="Процентный 2" xfId="64" xr:uid="{00000000-0005-0000-0000-000075000000}"/>
    <cellStyle name="Процентный 2 2" xfId="97" xr:uid="{00000000-0005-0000-0000-000076000000}"/>
    <cellStyle name="Процентный 3" xfId="65" xr:uid="{00000000-0005-0000-0000-000077000000}"/>
    <cellStyle name="Процентный 4" xfId="68" xr:uid="{00000000-0005-0000-0000-000078000000}"/>
    <cellStyle name="Процентный 4 2" xfId="135" xr:uid="{00000000-0005-0000-0000-000079000000}"/>
    <cellStyle name="Процентный 4 3" xfId="92" xr:uid="{00000000-0005-0000-0000-00007A000000}"/>
    <cellStyle name="Связанная ячейка 2" xfId="56" xr:uid="{00000000-0005-0000-0000-00007B000000}"/>
    <cellStyle name="Стиль 1" xfId="66" xr:uid="{00000000-0005-0000-0000-00007C000000}"/>
    <cellStyle name="Стиль 1 2" xfId="75" xr:uid="{00000000-0005-0000-0000-00007D000000}"/>
    <cellStyle name="Текст предупреждения 2" xfId="57" xr:uid="{00000000-0005-0000-0000-00007E000000}"/>
    <cellStyle name="Финансовый 2" xfId="58" xr:uid="{00000000-0005-0000-0000-00007F000000}"/>
    <cellStyle name="Финансовый 2 2" xfId="72" xr:uid="{00000000-0005-0000-0000-000080000000}"/>
    <cellStyle name="Финансовый 2 2 2" xfId="136" xr:uid="{00000000-0005-0000-0000-000081000000}"/>
    <cellStyle name="Финансовый 2 2 2 2 2" xfId="59" xr:uid="{00000000-0005-0000-0000-000082000000}"/>
    <cellStyle name="Финансовый 2 3" xfId="70" xr:uid="{00000000-0005-0000-0000-000083000000}"/>
    <cellStyle name="Финансовый 2 4" xfId="79" xr:uid="{00000000-0005-0000-0000-000084000000}"/>
    <cellStyle name="Финансовый 2 4 2" xfId="98" xr:uid="{00000000-0005-0000-0000-000085000000}"/>
    <cellStyle name="Финансовый 3" xfId="60" xr:uid="{00000000-0005-0000-0000-000086000000}"/>
    <cellStyle name="Финансовый 3 2" xfId="94" xr:uid="{00000000-0005-0000-0000-000087000000}"/>
    <cellStyle name="Финансовый 3 2 2" xfId="137" xr:uid="{00000000-0005-0000-0000-000088000000}"/>
    <cellStyle name="Финансовый 4" xfId="73" xr:uid="{00000000-0005-0000-0000-000089000000}"/>
    <cellStyle name="Финансовый 4 2" xfId="141" xr:uid="{00000000-0005-0000-0000-00008A000000}"/>
    <cellStyle name="Финансовый 4 3" xfId="100" xr:uid="{00000000-0005-0000-0000-00008B000000}"/>
    <cellStyle name="Финансовый 5" xfId="138" xr:uid="{00000000-0005-0000-0000-00008C000000}"/>
    <cellStyle name="Финансовый 6" xfId="140" xr:uid="{00000000-0005-0000-0000-00008D000000}"/>
    <cellStyle name="Хороший 2" xfId="61" xr:uid="{00000000-0005-0000-0000-00008E000000}"/>
  </cellStyles>
  <dxfs count="1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119975953995E-2"/>
          <c:y val="0.10288048500979628"/>
          <c:w val="0.85314204696335094"/>
          <c:h val="0.7467686961665003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-16248189.050694838</c:v>
                </c:pt>
                <c:pt idx="1">
                  <c:v>11671.91846143986</c:v>
                </c:pt>
                <c:pt idx="2">
                  <c:v>4052.4349100967329</c:v>
                </c:pt>
                <c:pt idx="3">
                  <c:v>3914.4294088266979</c:v>
                </c:pt>
                <c:pt idx="4">
                  <c:v>3740.2207264637655</c:v>
                </c:pt>
                <c:pt idx="5">
                  <c:v>3572.0694288386549</c:v>
                </c:pt>
                <c:pt idx="6">
                  <c:v>-107382.37311499985</c:v>
                </c:pt>
                <c:pt idx="7">
                  <c:v>3012.2944374994136</c:v>
                </c:pt>
                <c:pt idx="8">
                  <c:v>2766.2166051532686</c:v>
                </c:pt>
                <c:pt idx="9">
                  <c:v>2540.2411568299058</c:v>
                </c:pt>
                <c:pt idx="10">
                  <c:v>2332.7259054230763</c:v>
                </c:pt>
                <c:pt idx="11">
                  <c:v>2142.1628159992192</c:v>
                </c:pt>
              </c:numCache>
            </c:numRef>
          </c:val>
          <c:smooth val="0"/>
          <c:extLst>
            <c:ext xmlns:c16="http://schemas.microsoft.com/office/drawing/2014/chart" uri="{C3380CC4-5D6E-409C-BE32-E72D297353CC}">
              <c16:uniqueId val="{00000000-B341-4C3F-8E94-970A00114FAB}"/>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-16248189.050694838</c:v>
                </c:pt>
                <c:pt idx="1">
                  <c:v>-16236517.132233398</c:v>
                </c:pt>
                <c:pt idx="2">
                  <c:v>-16232464.697323302</c:v>
                </c:pt>
                <c:pt idx="3">
                  <c:v>-16228550.267914476</c:v>
                </c:pt>
                <c:pt idx="4">
                  <c:v>-16224810.047188012</c:v>
                </c:pt>
                <c:pt idx="5">
                  <c:v>-16221237.977759173</c:v>
                </c:pt>
                <c:pt idx="6">
                  <c:v>-16328620.350874173</c:v>
                </c:pt>
                <c:pt idx="7">
                  <c:v>-16325608.056436673</c:v>
                </c:pt>
                <c:pt idx="8">
                  <c:v>-16322841.83983152</c:v>
                </c:pt>
                <c:pt idx="9">
                  <c:v>-16320301.59867469</c:v>
                </c:pt>
                <c:pt idx="10">
                  <c:v>-16317968.872769266</c:v>
                </c:pt>
                <c:pt idx="11">
                  <c:v>-16315826.709953267</c:v>
                </c:pt>
              </c:numCache>
            </c:numRef>
          </c:val>
          <c:smooth val="0"/>
          <c:extLst>
            <c:ext xmlns:c16="http://schemas.microsoft.com/office/drawing/2014/chart" uri="{C3380CC4-5D6E-409C-BE32-E72D297353CC}">
              <c16:uniqueId val="{00000000-10BE-42A8-8153-4F64FB688D2B}"/>
            </c:ext>
          </c:extLst>
        </c:ser>
        <c:dLbls>
          <c:showLegendKey val="0"/>
          <c:showVal val="0"/>
          <c:showCatName val="0"/>
          <c:showSerName val="0"/>
          <c:showPercent val="0"/>
          <c:showBubbleSize val="0"/>
        </c:dLbls>
        <c:smooth val="0"/>
        <c:axId val="481119904"/>
        <c:axId val="481120296"/>
      </c:lineChart>
      <c:catAx>
        <c:axId val="4811199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1120296"/>
        <c:crosses val="autoZero"/>
        <c:auto val="1"/>
        <c:lblAlgn val="ctr"/>
        <c:lblOffset val="100"/>
        <c:noMultiLvlLbl val="0"/>
      </c:catAx>
      <c:valAx>
        <c:axId val="48112029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1119904"/>
        <c:crosses val="autoZero"/>
        <c:crossBetween val="between"/>
      </c:valAx>
    </c:plotArea>
    <c:legend>
      <c:legendPos val="r"/>
      <c:layout>
        <c:manualLayout>
          <c:xMode val="edge"/>
          <c:yMode val="edge"/>
          <c:x val="9.3270690275696386E-2"/>
          <c:y val="0.89000083443326816"/>
          <c:w val="0.84830639653262774"/>
          <c:h val="9.4356585708476576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1107281</xdr:colOff>
      <xdr:row>31</xdr:row>
      <xdr:rowOff>188118</xdr:rowOff>
    </xdr:from>
    <xdr:to>
      <xdr:col>7</xdr:col>
      <xdr:colOff>1107282</xdr:colOff>
      <xdr:row>45</xdr:row>
      <xdr:rowOff>35718</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1043;&#1056;&#1069;&#1057;\&#1055;&#1058;&#1057;\&#1054;&#1041;&#1065;&#1040;&#1071;\&#1057;&#1087;&#1088;&#1072;&#1074;&#1086;&#1095;&#1085;&#1072;&#1103;%20&#1080;&#1085;&#1092;&#1086;&#1088;&#1084;&#1072;&#1094;&#1080;&#1103;\&#1056;&#1077;&#1082;&#1086;&#1085;&#1089;&#1090;&#1088;&#1091;&#1082;&#1094;&#1080;&#1103;%2012%20&#1058;&#1055;%20%20&#1089;%20&#1087;&#1077;&#1088;&#1077;&#1074;&#1086;&#1076;&#1086;&#1084;%20&#1085;&#1072;%20&#1085;&#1072;&#1087;&#1088;&#1103;&#1078;&#1077;&#1085;&#1080;&#1077;%2010%20&#1082;&#1042;.&#1057;&#1090;&#1088;&#1086;&#1080;&#1090;&#1077;&#1083;&#1100;&#1089;&#1090;&#1074;&#1086;%203&#1093;%20&#1050;&#1051;%2010%20&#1082;&#1042;\1.%20&#1055;&#1072;&#1089;&#1087;&#1086;&#1088;&#1090;%20&#1088;&#1077;&#1082;&#1086;&#1085;&#1089;&#1090;-&#1103;%2012%20&#1058;&#1055;,%20&#1089;&#1090;&#1088;&#1086;&#1080;&#1090;&#1077;&#1083;&#1100;&#1089;&#1090;&#1074;&#1086;3&#1093;&#1050;&#1051;10&#1082;&#104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s1\res\&#1042;&#1099;&#1090;&#1085;&#1086;&#1074;&#1072;%20&#1053;.&#1048;\&#1048;&#1055;&#1056;\&#1074;&#1082;&#1083;&#1072;&#1076;&#1082;&#1072;%20&#1053;&#1072;&#1076;&#1077;&#1078;&#1085;&#1086;&#1089;&#1090;&#1100;\&#1053;&#1086;&#1074;&#1099;&#1077;%20&#1086;&#1090;%2025.10.19\&#1056;&#1077;&#1082;&#1086;&#1085;&#1089;&#1090;&#1088;&#1091;&#1082;&#1094;&#1080;&#1103;%2012%20&#1058;&#1055;,%20&#1088;&#1072;&#1089;&#1087;&#1088;&#1077;&#1076;&#1077;&#1083;&#1080;&#1090;&#1077;&#1083;&#1100;&#1085;&#1099;&#1093;%20&#1089;&#1077;&#1090;&#1077;&#1081;%206-10%20&#1082;&#104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5">
          <cell r="A5" t="str">
            <v>Год раскрытия информации: 2020 год</v>
          </cell>
          <cell r="B5">
            <v>0</v>
          </cell>
          <cell r="C5">
            <v>0</v>
          </cell>
        </row>
        <row r="9">
          <cell r="A9" t="str">
            <v>Акционерное общество "Янтарьэнерго" ДЗО  ПАО "Россети"</v>
          </cell>
          <cell r="B9">
            <v>0</v>
          </cell>
          <cell r="C9">
            <v>0</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федерального</v>
          </cell>
        </row>
        <row r="2">
          <cell r="A2" t="str">
            <v>регионального</v>
          </cell>
        </row>
        <row r="3">
          <cell r="A3" t="str">
            <v>не относится</v>
          </cell>
        </row>
      </sheetData>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5">
          <cell r="A5" t="str">
            <v>Год раскрытия информации: 2019 год</v>
          </cell>
        </row>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rosseti.roseltorg.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6"/>
  <sheetViews>
    <sheetView view="pageBreakPreview" zoomScale="85" zoomScaleSheetLayoutView="85" workbookViewId="0">
      <selection activeCell="C41" sqref="C41"/>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37" t="s">
        <v>65</v>
      </c>
      <c r="D1" s="423"/>
      <c r="F1" s="15"/>
      <c r="G1" s="15"/>
    </row>
    <row r="2" spans="1:22" s="11" customFormat="1" ht="18.75" customHeight="1" x14ac:dyDescent="0.3">
      <c r="A2" s="17"/>
      <c r="C2" s="14" t="s">
        <v>7</v>
      </c>
      <c r="D2" s="423"/>
      <c r="F2" s="15"/>
      <c r="G2" s="15"/>
    </row>
    <row r="3" spans="1:22" s="11" customFormat="1" ht="18.75" x14ac:dyDescent="0.3">
      <c r="A3" s="16"/>
      <c r="C3" s="14" t="s">
        <v>64</v>
      </c>
      <c r="D3" s="423"/>
      <c r="F3" s="15"/>
      <c r="G3" s="15"/>
    </row>
    <row r="4" spans="1:22" s="11" customFormat="1" ht="18.75" x14ac:dyDescent="0.3">
      <c r="A4" s="16"/>
      <c r="D4" s="423"/>
      <c r="F4" s="15"/>
      <c r="G4" s="15"/>
      <c r="H4" s="14"/>
    </row>
    <row r="5" spans="1:22" s="11" customFormat="1" ht="15.75" x14ac:dyDescent="0.25">
      <c r="A5" s="427" t="s">
        <v>601</v>
      </c>
      <c r="B5" s="427"/>
      <c r="C5" s="427"/>
      <c r="D5" s="423"/>
      <c r="E5" s="96"/>
      <c r="F5" s="96"/>
      <c r="G5" s="96"/>
      <c r="H5" s="96"/>
      <c r="I5" s="96"/>
      <c r="J5" s="96"/>
    </row>
    <row r="6" spans="1:22" s="11" customFormat="1" ht="18.75" x14ac:dyDescent="0.3">
      <c r="A6" s="16"/>
      <c r="D6" s="423"/>
      <c r="F6" s="15"/>
      <c r="G6" s="15"/>
      <c r="H6" s="14"/>
    </row>
    <row r="7" spans="1:22" s="11" customFormat="1" ht="18.75" x14ac:dyDescent="0.2">
      <c r="A7" s="431" t="s">
        <v>6</v>
      </c>
      <c r="B7" s="431"/>
      <c r="C7" s="431"/>
      <c r="D7" s="423"/>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423"/>
      <c r="E8" s="13"/>
      <c r="F8" s="13"/>
      <c r="G8" s="13"/>
      <c r="H8" s="13"/>
      <c r="I8" s="12"/>
      <c r="J8" s="12"/>
      <c r="K8" s="12"/>
      <c r="L8" s="12"/>
      <c r="M8" s="12"/>
      <c r="N8" s="12"/>
      <c r="O8" s="12"/>
      <c r="P8" s="12"/>
      <c r="Q8" s="12"/>
      <c r="R8" s="12"/>
      <c r="S8" s="12"/>
      <c r="T8" s="12"/>
      <c r="U8" s="12"/>
      <c r="V8" s="12"/>
    </row>
    <row r="9" spans="1:22" s="11" customFormat="1" ht="18.75" x14ac:dyDescent="0.2">
      <c r="A9" s="432" t="s">
        <v>512</v>
      </c>
      <c r="B9" s="432"/>
      <c r="C9" s="432"/>
      <c r="D9" s="423"/>
      <c r="E9" s="7"/>
      <c r="F9" s="7"/>
      <c r="G9" s="7"/>
      <c r="H9" s="7"/>
      <c r="I9" s="12"/>
      <c r="J9" s="12"/>
      <c r="K9" s="12"/>
      <c r="L9" s="12"/>
      <c r="M9" s="12"/>
      <c r="N9" s="12"/>
      <c r="O9" s="12"/>
      <c r="P9" s="12"/>
      <c r="Q9" s="12"/>
      <c r="R9" s="12"/>
      <c r="S9" s="12"/>
      <c r="T9" s="12"/>
      <c r="U9" s="12"/>
      <c r="V9" s="12"/>
    </row>
    <row r="10" spans="1:22" s="11" customFormat="1" ht="18.75" x14ac:dyDescent="0.2">
      <c r="A10" s="428" t="s">
        <v>5</v>
      </c>
      <c r="B10" s="428"/>
      <c r="C10" s="428"/>
      <c r="D10" s="423"/>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423"/>
      <c r="E11" s="13"/>
      <c r="F11" s="13"/>
      <c r="G11" s="13"/>
      <c r="H11" s="13"/>
      <c r="I11" s="12"/>
      <c r="J11" s="12"/>
      <c r="K11" s="12"/>
      <c r="L11" s="12"/>
      <c r="M11" s="12"/>
      <c r="N11" s="12"/>
      <c r="O11" s="12"/>
      <c r="P11" s="12"/>
      <c r="Q11" s="12"/>
      <c r="R11" s="12"/>
      <c r="S11" s="12"/>
      <c r="T11" s="12"/>
      <c r="U11" s="12"/>
      <c r="V11" s="12"/>
    </row>
    <row r="12" spans="1:22" s="11" customFormat="1" ht="18.75" x14ac:dyDescent="0.2">
      <c r="A12" s="433" t="s">
        <v>539</v>
      </c>
      <c r="B12" s="433"/>
      <c r="C12" s="433"/>
      <c r="D12" s="423"/>
      <c r="E12" s="7"/>
      <c r="F12" s="7"/>
      <c r="G12" s="7"/>
      <c r="H12" s="7"/>
      <c r="I12" s="12"/>
      <c r="J12" s="12"/>
      <c r="K12" s="12"/>
      <c r="L12" s="12"/>
      <c r="M12" s="12"/>
      <c r="N12" s="12"/>
      <c r="O12" s="12"/>
      <c r="P12" s="12"/>
      <c r="Q12" s="12"/>
      <c r="R12" s="12"/>
      <c r="S12" s="12"/>
      <c r="T12" s="12"/>
      <c r="U12" s="12"/>
      <c r="V12" s="12"/>
    </row>
    <row r="13" spans="1:22" s="11" customFormat="1" ht="18.75" x14ac:dyDescent="0.2">
      <c r="A13" s="428" t="s">
        <v>4</v>
      </c>
      <c r="B13" s="428"/>
      <c r="C13" s="428"/>
      <c r="D13" s="423"/>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423"/>
      <c r="E14" s="9"/>
      <c r="F14" s="9"/>
      <c r="G14" s="9"/>
      <c r="H14" s="9"/>
      <c r="I14" s="9"/>
      <c r="J14" s="9"/>
      <c r="K14" s="9"/>
      <c r="L14" s="9"/>
      <c r="M14" s="9"/>
      <c r="N14" s="9"/>
      <c r="O14" s="9"/>
      <c r="P14" s="9"/>
      <c r="Q14" s="9"/>
      <c r="R14" s="9"/>
      <c r="S14" s="9"/>
      <c r="T14" s="9"/>
      <c r="U14" s="9"/>
      <c r="V14" s="9"/>
    </row>
    <row r="15" spans="1:22" s="3" customFormat="1" ht="72" customHeight="1" x14ac:dyDescent="0.2">
      <c r="A15" s="429" t="s">
        <v>590</v>
      </c>
      <c r="B15" s="429"/>
      <c r="C15" s="429"/>
      <c r="D15" s="423"/>
      <c r="E15" s="7"/>
      <c r="F15" s="7"/>
      <c r="G15" s="7"/>
      <c r="H15" s="7"/>
      <c r="I15" s="7"/>
      <c r="J15" s="7"/>
      <c r="K15" s="7"/>
      <c r="L15" s="7"/>
      <c r="M15" s="7"/>
      <c r="N15" s="7"/>
      <c r="O15" s="7"/>
      <c r="P15" s="7"/>
      <c r="Q15" s="7"/>
      <c r="R15" s="7"/>
      <c r="S15" s="7"/>
      <c r="T15" s="7"/>
      <c r="U15" s="7"/>
      <c r="V15" s="7"/>
    </row>
    <row r="16" spans="1:22" s="3" customFormat="1" ht="15" customHeight="1" x14ac:dyDescent="0.2">
      <c r="A16" s="428" t="s">
        <v>3</v>
      </c>
      <c r="B16" s="428"/>
      <c r="C16" s="428"/>
      <c r="D16" s="423"/>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23"/>
      <c r="E17" s="4"/>
      <c r="F17" s="4"/>
      <c r="G17" s="4"/>
      <c r="H17" s="4"/>
      <c r="I17" s="4"/>
      <c r="J17" s="4"/>
      <c r="K17" s="4"/>
      <c r="L17" s="4"/>
      <c r="M17" s="4"/>
      <c r="N17" s="4"/>
      <c r="O17" s="4"/>
      <c r="P17" s="4"/>
      <c r="Q17" s="4"/>
      <c r="R17" s="4"/>
      <c r="S17" s="4"/>
    </row>
    <row r="18" spans="1:22" s="3" customFormat="1" ht="15" customHeight="1" x14ac:dyDescent="0.2">
      <c r="A18" s="429" t="s">
        <v>406</v>
      </c>
      <c r="B18" s="430"/>
      <c r="C18" s="430"/>
      <c r="D18" s="423"/>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423"/>
      <c r="E19" s="5"/>
      <c r="F19" s="5"/>
      <c r="G19" s="5"/>
      <c r="H19" s="5"/>
      <c r="I19" s="4"/>
      <c r="J19" s="4"/>
      <c r="K19" s="4"/>
      <c r="L19" s="4"/>
      <c r="M19" s="4"/>
      <c r="N19" s="4"/>
      <c r="O19" s="4"/>
      <c r="P19" s="4"/>
      <c r="Q19" s="4"/>
      <c r="R19" s="4"/>
      <c r="S19" s="4"/>
    </row>
    <row r="20" spans="1:22" s="3" customFormat="1" ht="39.75" customHeight="1" x14ac:dyDescent="0.2">
      <c r="A20" s="24" t="s">
        <v>2</v>
      </c>
      <c r="B20" s="36" t="s">
        <v>63</v>
      </c>
      <c r="C20" s="35" t="s">
        <v>62</v>
      </c>
      <c r="D20" s="423"/>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5">
        <v>1</v>
      </c>
      <c r="B21" s="36">
        <v>2</v>
      </c>
      <c r="C21" s="35">
        <v>3</v>
      </c>
      <c r="D21" s="423"/>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3" t="s">
        <v>61</v>
      </c>
      <c r="B22" s="39" t="s">
        <v>284</v>
      </c>
      <c r="C22" s="299" t="s">
        <v>516</v>
      </c>
      <c r="D22" s="423"/>
      <c r="E22" s="28"/>
      <c r="F22" s="28"/>
      <c r="G22" s="28"/>
      <c r="H22" s="28"/>
      <c r="I22" s="27"/>
      <c r="J22" s="27"/>
      <c r="K22" s="27"/>
      <c r="L22" s="27"/>
      <c r="M22" s="27"/>
      <c r="N22" s="27"/>
      <c r="O22" s="27"/>
      <c r="P22" s="27"/>
      <c r="Q22" s="27"/>
      <c r="R22" s="27"/>
      <c r="S22" s="27"/>
      <c r="T22" s="26"/>
      <c r="U22" s="26"/>
      <c r="V22" s="26"/>
    </row>
    <row r="23" spans="1:22" s="3" customFormat="1" ht="78.75" x14ac:dyDescent="0.2">
      <c r="A23" s="236" t="s">
        <v>60</v>
      </c>
      <c r="B23" s="237" t="s">
        <v>502</v>
      </c>
      <c r="C23" s="299" t="s">
        <v>591</v>
      </c>
      <c r="D23" s="423"/>
      <c r="E23" s="28"/>
      <c r="F23" s="28"/>
      <c r="G23" s="28"/>
      <c r="H23" s="28"/>
      <c r="I23" s="27"/>
      <c r="J23" s="27"/>
      <c r="K23" s="27"/>
      <c r="L23" s="27"/>
      <c r="M23" s="27"/>
      <c r="N23" s="27"/>
      <c r="O23" s="27"/>
      <c r="P23" s="27"/>
      <c r="Q23" s="27"/>
      <c r="R23" s="27"/>
      <c r="S23" s="27"/>
      <c r="T23" s="26"/>
      <c r="U23" s="26"/>
      <c r="V23" s="26"/>
    </row>
    <row r="24" spans="1:22" s="3" customFormat="1" ht="22.5" customHeight="1" x14ac:dyDescent="0.2">
      <c r="A24" s="424"/>
      <c r="B24" s="425"/>
      <c r="C24" s="426"/>
      <c r="D24" s="423"/>
      <c r="E24" s="28"/>
      <c r="F24" s="28"/>
      <c r="G24" s="28"/>
      <c r="H24" s="28"/>
      <c r="I24" s="27"/>
      <c r="J24" s="27"/>
      <c r="K24" s="27"/>
      <c r="L24" s="27"/>
      <c r="M24" s="27"/>
      <c r="N24" s="27"/>
      <c r="O24" s="27"/>
      <c r="P24" s="27"/>
      <c r="Q24" s="27"/>
      <c r="R24" s="27"/>
      <c r="S24" s="27"/>
      <c r="T24" s="26"/>
      <c r="U24" s="26"/>
      <c r="V24" s="26"/>
    </row>
    <row r="25" spans="1:22" s="30" customFormat="1" ht="58.5" customHeight="1" x14ac:dyDescent="0.2">
      <c r="A25" s="23" t="s">
        <v>59</v>
      </c>
      <c r="B25" s="95" t="s">
        <v>355</v>
      </c>
      <c r="C25" s="34" t="s">
        <v>455</v>
      </c>
      <c r="D25" s="423"/>
      <c r="E25" s="33"/>
      <c r="F25" s="33"/>
      <c r="G25" s="33"/>
      <c r="H25" s="32"/>
      <c r="I25" s="32"/>
      <c r="J25" s="32"/>
      <c r="K25" s="32"/>
      <c r="L25" s="32"/>
      <c r="M25" s="32"/>
      <c r="N25" s="32"/>
      <c r="O25" s="32"/>
      <c r="P25" s="32"/>
      <c r="Q25" s="32"/>
      <c r="R25" s="32"/>
      <c r="S25" s="31"/>
      <c r="T25" s="31"/>
      <c r="U25" s="31"/>
      <c r="V25" s="31"/>
    </row>
    <row r="26" spans="1:22" s="30" customFormat="1" ht="42.75" customHeight="1" x14ac:dyDescent="0.2">
      <c r="A26" s="23" t="s">
        <v>58</v>
      </c>
      <c r="B26" s="95" t="s">
        <v>71</v>
      </c>
      <c r="C26" s="34" t="s">
        <v>423</v>
      </c>
      <c r="D26" s="423"/>
      <c r="E26" s="33"/>
      <c r="F26" s="33"/>
      <c r="G26" s="33"/>
      <c r="H26" s="32"/>
      <c r="I26" s="32"/>
      <c r="J26" s="32"/>
      <c r="K26" s="32"/>
      <c r="L26" s="32"/>
      <c r="M26" s="32"/>
      <c r="N26" s="32"/>
      <c r="O26" s="32"/>
      <c r="P26" s="32"/>
      <c r="Q26" s="32"/>
      <c r="R26" s="32"/>
      <c r="S26" s="31"/>
      <c r="T26" s="31"/>
      <c r="U26" s="31"/>
      <c r="V26" s="31"/>
    </row>
    <row r="27" spans="1:22" s="30" customFormat="1" ht="51.75" customHeight="1" x14ac:dyDescent="0.2">
      <c r="A27" s="23" t="s">
        <v>56</v>
      </c>
      <c r="B27" s="95" t="s">
        <v>70</v>
      </c>
      <c r="C27" s="232" t="s">
        <v>511</v>
      </c>
      <c r="D27" s="423"/>
      <c r="E27" s="33"/>
      <c r="F27" s="33"/>
      <c r="G27" s="33"/>
      <c r="H27" s="32"/>
      <c r="I27" s="32"/>
      <c r="J27" s="32"/>
      <c r="K27" s="32"/>
      <c r="L27" s="32"/>
      <c r="M27" s="32"/>
      <c r="N27" s="32"/>
      <c r="O27" s="32"/>
      <c r="P27" s="32"/>
      <c r="Q27" s="32"/>
      <c r="R27" s="32"/>
      <c r="S27" s="31"/>
      <c r="T27" s="31"/>
      <c r="U27" s="31"/>
      <c r="V27" s="31"/>
    </row>
    <row r="28" spans="1:22" s="30" customFormat="1" ht="42.75" customHeight="1" x14ac:dyDescent="0.2">
      <c r="A28" s="23" t="s">
        <v>55</v>
      </c>
      <c r="B28" s="95" t="s">
        <v>356</v>
      </c>
      <c r="C28" s="34" t="s">
        <v>454</v>
      </c>
      <c r="D28" s="42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53</v>
      </c>
      <c r="B29" s="95" t="s">
        <v>357</v>
      </c>
      <c r="C29" s="34" t="s">
        <v>454</v>
      </c>
      <c r="D29" s="42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51</v>
      </c>
      <c r="B30" s="95" t="s">
        <v>358</v>
      </c>
      <c r="C30" s="34" t="s">
        <v>454</v>
      </c>
      <c r="D30" s="42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69</v>
      </c>
      <c r="B31" s="38" t="s">
        <v>359</v>
      </c>
      <c r="C31" s="34" t="s">
        <v>454</v>
      </c>
      <c r="D31" s="423"/>
      <c r="E31" s="33"/>
      <c r="F31" s="33"/>
      <c r="G31" s="33"/>
      <c r="H31" s="32"/>
      <c r="I31" s="32"/>
      <c r="J31" s="32"/>
      <c r="K31" s="32"/>
      <c r="L31" s="32"/>
      <c r="M31" s="32"/>
      <c r="N31" s="32"/>
      <c r="O31" s="32"/>
      <c r="P31" s="32"/>
      <c r="Q31" s="32"/>
      <c r="R31" s="32"/>
      <c r="S31" s="31"/>
      <c r="T31" s="31"/>
      <c r="U31" s="31"/>
      <c r="V31" s="31"/>
    </row>
    <row r="32" spans="1:22" s="30" customFormat="1" ht="51.75" customHeight="1" x14ac:dyDescent="0.2">
      <c r="A32" s="23" t="s">
        <v>67</v>
      </c>
      <c r="B32" s="38" t="s">
        <v>360</v>
      </c>
      <c r="C32" s="34" t="s">
        <v>454</v>
      </c>
      <c r="D32" s="423"/>
      <c r="E32" s="33"/>
      <c r="F32" s="33"/>
      <c r="G32" s="33"/>
      <c r="H32" s="32"/>
      <c r="I32" s="32"/>
      <c r="J32" s="32"/>
      <c r="K32" s="32"/>
      <c r="L32" s="32"/>
      <c r="M32" s="32"/>
      <c r="N32" s="32"/>
      <c r="O32" s="32"/>
      <c r="P32" s="32"/>
      <c r="Q32" s="32"/>
      <c r="R32" s="32"/>
      <c r="S32" s="31"/>
      <c r="T32" s="31"/>
      <c r="U32" s="31"/>
      <c r="V32" s="31"/>
    </row>
    <row r="33" spans="1:22" s="30" customFormat="1" ht="101.25" customHeight="1" x14ac:dyDescent="0.2">
      <c r="A33" s="23" t="s">
        <v>66</v>
      </c>
      <c r="B33" s="38" t="s">
        <v>361</v>
      </c>
      <c r="C33" s="34" t="s">
        <v>504</v>
      </c>
      <c r="D33" s="423"/>
      <c r="E33" s="33"/>
      <c r="F33" s="33"/>
      <c r="G33" s="33"/>
      <c r="H33" s="32"/>
      <c r="I33" s="32"/>
      <c r="J33" s="32"/>
      <c r="K33" s="32"/>
      <c r="L33" s="32"/>
      <c r="M33" s="32"/>
      <c r="N33" s="32"/>
      <c r="O33" s="32"/>
      <c r="P33" s="32"/>
      <c r="Q33" s="32"/>
      <c r="R33" s="32"/>
      <c r="S33" s="31"/>
      <c r="T33" s="31"/>
      <c r="U33" s="31"/>
      <c r="V33" s="31"/>
    </row>
    <row r="34" spans="1:22" ht="111" customHeight="1" x14ac:dyDescent="0.25">
      <c r="A34" s="23" t="s">
        <v>375</v>
      </c>
      <c r="B34" s="38" t="s">
        <v>362</v>
      </c>
      <c r="C34" s="34" t="s">
        <v>454</v>
      </c>
      <c r="D34" s="423"/>
      <c r="E34" s="22"/>
      <c r="F34" s="22"/>
      <c r="G34" s="22"/>
      <c r="H34" s="22"/>
      <c r="I34" s="22"/>
      <c r="J34" s="22"/>
      <c r="K34" s="22"/>
      <c r="L34" s="22"/>
      <c r="M34" s="22"/>
      <c r="N34" s="22"/>
      <c r="O34" s="22"/>
      <c r="P34" s="22"/>
      <c r="Q34" s="22"/>
      <c r="R34" s="22"/>
      <c r="S34" s="22"/>
      <c r="T34" s="22"/>
      <c r="U34" s="22"/>
      <c r="V34" s="22"/>
    </row>
    <row r="35" spans="1:22" ht="58.5" customHeight="1" x14ac:dyDescent="0.25">
      <c r="A35" s="23" t="s">
        <v>365</v>
      </c>
      <c r="B35" s="38" t="s">
        <v>68</v>
      </c>
      <c r="C35" s="34" t="s">
        <v>454</v>
      </c>
      <c r="D35" s="423"/>
      <c r="E35" s="22"/>
      <c r="F35" s="22"/>
      <c r="G35" s="22"/>
      <c r="H35" s="22"/>
      <c r="I35" s="22"/>
      <c r="J35" s="22"/>
      <c r="K35" s="22"/>
      <c r="L35" s="22"/>
      <c r="M35" s="22"/>
      <c r="N35" s="22"/>
      <c r="O35" s="22"/>
      <c r="P35" s="22"/>
      <c r="Q35" s="22"/>
      <c r="R35" s="22"/>
      <c r="S35" s="22"/>
      <c r="T35" s="22"/>
      <c r="U35" s="22"/>
      <c r="V35" s="22"/>
    </row>
    <row r="36" spans="1:22" ht="51.75" customHeight="1" x14ac:dyDescent="0.25">
      <c r="A36" s="23" t="s">
        <v>376</v>
      </c>
      <c r="B36" s="38" t="s">
        <v>363</v>
      </c>
      <c r="C36" s="34" t="s">
        <v>454</v>
      </c>
      <c r="D36" s="423"/>
      <c r="E36" s="22"/>
      <c r="F36" s="22"/>
      <c r="G36" s="22"/>
      <c r="H36" s="22"/>
      <c r="I36" s="22"/>
      <c r="J36" s="22"/>
      <c r="K36" s="22"/>
      <c r="L36" s="22"/>
      <c r="M36" s="22"/>
      <c r="N36" s="22"/>
      <c r="O36" s="22"/>
      <c r="P36" s="22"/>
      <c r="Q36" s="22"/>
      <c r="R36" s="22"/>
      <c r="S36" s="22"/>
      <c r="T36" s="22"/>
      <c r="U36" s="22"/>
      <c r="V36" s="22"/>
    </row>
    <row r="37" spans="1:22" ht="43.5" customHeight="1" x14ac:dyDescent="0.25">
      <c r="A37" s="23" t="s">
        <v>366</v>
      </c>
      <c r="B37" s="38" t="s">
        <v>364</v>
      </c>
      <c r="C37" s="34" t="s">
        <v>540</v>
      </c>
      <c r="D37" s="423"/>
      <c r="E37" s="22"/>
      <c r="F37" s="22"/>
      <c r="G37" s="22"/>
      <c r="H37" s="22"/>
      <c r="I37" s="22"/>
      <c r="J37" s="22"/>
      <c r="K37" s="22"/>
      <c r="L37" s="22"/>
      <c r="M37" s="22"/>
      <c r="N37" s="22"/>
      <c r="O37" s="22"/>
      <c r="P37" s="22"/>
      <c r="Q37" s="22"/>
      <c r="R37" s="22"/>
      <c r="S37" s="22"/>
      <c r="T37" s="22"/>
      <c r="U37" s="22"/>
      <c r="V37" s="22"/>
    </row>
    <row r="38" spans="1:22" ht="43.5" customHeight="1" x14ac:dyDescent="0.25">
      <c r="A38" s="23" t="s">
        <v>377</v>
      </c>
      <c r="B38" s="38" t="s">
        <v>207</v>
      </c>
      <c r="C38" s="34" t="s">
        <v>454</v>
      </c>
      <c r="D38" s="423"/>
      <c r="E38" s="22"/>
      <c r="G38" s="22"/>
      <c r="H38" s="22"/>
      <c r="I38" s="22"/>
      <c r="J38" s="22"/>
      <c r="K38" s="22"/>
      <c r="L38" s="22"/>
      <c r="M38" s="22"/>
      <c r="N38" s="22"/>
      <c r="O38" s="22"/>
      <c r="P38" s="22"/>
      <c r="Q38" s="22"/>
      <c r="R38" s="22"/>
      <c r="S38" s="22"/>
      <c r="T38" s="22"/>
      <c r="U38" s="22"/>
      <c r="V38" s="22"/>
    </row>
    <row r="39" spans="1:22" ht="23.25" customHeight="1" x14ac:dyDescent="0.25">
      <c r="A39" s="424"/>
      <c r="B39" s="425"/>
      <c r="C39" s="426"/>
      <c r="D39" s="423"/>
      <c r="E39" s="22"/>
      <c r="F39" s="22"/>
      <c r="G39" s="22"/>
      <c r="H39" s="22"/>
      <c r="I39" s="22"/>
      <c r="J39" s="22"/>
      <c r="K39" s="22"/>
      <c r="L39" s="22"/>
      <c r="M39" s="22"/>
      <c r="N39" s="22"/>
      <c r="O39" s="22"/>
      <c r="P39" s="22"/>
      <c r="Q39" s="22"/>
      <c r="R39" s="22"/>
      <c r="S39" s="22"/>
      <c r="T39" s="22"/>
      <c r="U39" s="22"/>
      <c r="V39" s="22"/>
    </row>
    <row r="40" spans="1:22" ht="63" x14ac:dyDescent="0.25">
      <c r="A40" s="23" t="s">
        <v>367</v>
      </c>
      <c r="B40" s="38" t="s">
        <v>419</v>
      </c>
      <c r="C40" s="406" t="s">
        <v>636</v>
      </c>
      <c r="D40" s="423"/>
      <c r="E40" s="22"/>
      <c r="F40" s="22"/>
      <c r="G40" s="22"/>
      <c r="H40" s="22"/>
      <c r="I40" s="22"/>
      <c r="J40" s="22"/>
      <c r="K40" s="22"/>
      <c r="L40" s="22"/>
      <c r="M40" s="22"/>
      <c r="N40" s="22"/>
      <c r="O40" s="22"/>
      <c r="P40" s="22"/>
      <c r="Q40" s="22"/>
      <c r="R40" s="22"/>
      <c r="S40" s="22"/>
      <c r="T40" s="22"/>
      <c r="U40" s="22"/>
      <c r="V40" s="22"/>
    </row>
    <row r="41" spans="1:22" ht="105.75" customHeight="1" x14ac:dyDescent="0.25">
      <c r="A41" s="23" t="s">
        <v>378</v>
      </c>
      <c r="B41" s="38" t="s">
        <v>401</v>
      </c>
      <c r="C41" s="240" t="s">
        <v>503</v>
      </c>
      <c r="D41" s="423"/>
      <c r="E41" s="22"/>
      <c r="F41" s="22"/>
      <c r="G41" s="22"/>
      <c r="H41" s="22"/>
      <c r="I41" s="22"/>
      <c r="J41" s="22"/>
      <c r="K41" s="22"/>
      <c r="L41" s="22"/>
      <c r="M41" s="22"/>
      <c r="N41" s="22"/>
      <c r="O41" s="22"/>
      <c r="P41" s="22"/>
      <c r="Q41" s="22"/>
      <c r="R41" s="22"/>
      <c r="S41" s="22"/>
      <c r="T41" s="22"/>
      <c r="U41" s="22"/>
      <c r="V41" s="22"/>
    </row>
    <row r="42" spans="1:22" ht="83.25" customHeight="1" x14ac:dyDescent="0.25">
      <c r="A42" s="23" t="s">
        <v>368</v>
      </c>
      <c r="B42" s="38" t="s">
        <v>416</v>
      </c>
      <c r="C42" s="240" t="s">
        <v>503</v>
      </c>
      <c r="D42" s="423"/>
      <c r="E42" s="22"/>
      <c r="F42" s="22"/>
      <c r="G42" s="22"/>
      <c r="H42" s="22"/>
      <c r="I42" s="22"/>
      <c r="J42" s="22"/>
      <c r="K42" s="22"/>
      <c r="L42" s="22"/>
      <c r="M42" s="22"/>
      <c r="N42" s="22"/>
      <c r="O42" s="22"/>
      <c r="P42" s="22"/>
      <c r="Q42" s="22"/>
      <c r="R42" s="22"/>
      <c r="S42" s="22"/>
      <c r="T42" s="22"/>
      <c r="U42" s="22"/>
      <c r="V42" s="22"/>
    </row>
    <row r="43" spans="1:22" ht="186" customHeight="1" x14ac:dyDescent="0.25">
      <c r="A43" s="23" t="s">
        <v>381</v>
      </c>
      <c r="B43" s="38" t="s">
        <v>382</v>
      </c>
      <c r="C43" s="240" t="s">
        <v>455</v>
      </c>
      <c r="D43" s="423"/>
      <c r="E43" s="22"/>
      <c r="F43" s="22"/>
      <c r="G43" s="22"/>
      <c r="H43" s="22"/>
      <c r="I43" s="22"/>
      <c r="J43" s="22"/>
      <c r="K43" s="22"/>
      <c r="L43" s="22"/>
      <c r="M43" s="22"/>
      <c r="N43" s="22"/>
      <c r="O43" s="22"/>
      <c r="P43" s="22"/>
      <c r="Q43" s="22"/>
      <c r="R43" s="22"/>
      <c r="S43" s="22"/>
      <c r="T43" s="22"/>
      <c r="U43" s="22"/>
      <c r="V43" s="22"/>
    </row>
    <row r="44" spans="1:22" ht="111" customHeight="1" x14ac:dyDescent="0.25">
      <c r="A44" s="23" t="s">
        <v>369</v>
      </c>
      <c r="B44" s="38" t="s">
        <v>407</v>
      </c>
      <c r="C44" s="240" t="s">
        <v>455</v>
      </c>
      <c r="D44" s="423"/>
      <c r="E44" s="22"/>
      <c r="F44" s="22"/>
      <c r="G44" s="22"/>
      <c r="H44" s="22"/>
      <c r="I44" s="22"/>
      <c r="J44" s="22"/>
      <c r="K44" s="22"/>
      <c r="L44" s="22"/>
      <c r="M44" s="22"/>
      <c r="N44" s="22"/>
      <c r="O44" s="22"/>
      <c r="P44" s="22"/>
      <c r="Q44" s="22"/>
      <c r="R44" s="22"/>
      <c r="S44" s="22"/>
      <c r="T44" s="22"/>
      <c r="U44" s="22"/>
      <c r="V44" s="22"/>
    </row>
    <row r="45" spans="1:22" ht="120" customHeight="1" x14ac:dyDescent="0.25">
      <c r="A45" s="23" t="s">
        <v>402</v>
      </c>
      <c r="B45" s="38" t="s">
        <v>408</v>
      </c>
      <c r="C45" s="240" t="s">
        <v>455</v>
      </c>
      <c r="D45" s="423"/>
      <c r="E45" s="22"/>
      <c r="F45" s="22"/>
      <c r="G45" s="22"/>
      <c r="H45" s="22"/>
      <c r="I45" s="22"/>
      <c r="J45" s="22"/>
      <c r="K45" s="22"/>
      <c r="L45" s="22"/>
      <c r="M45" s="22"/>
      <c r="N45" s="22"/>
      <c r="O45" s="22"/>
      <c r="P45" s="22"/>
      <c r="Q45" s="22"/>
      <c r="R45" s="22"/>
      <c r="S45" s="22"/>
      <c r="T45" s="22"/>
      <c r="U45" s="22"/>
      <c r="V45" s="22"/>
    </row>
    <row r="46" spans="1:22" ht="107.25" customHeight="1" x14ac:dyDescent="0.25">
      <c r="A46" s="23" t="s">
        <v>370</v>
      </c>
      <c r="B46" s="38" t="s">
        <v>409</v>
      </c>
      <c r="C46" s="329" t="s">
        <v>524</v>
      </c>
      <c r="D46" s="423"/>
      <c r="E46" s="22"/>
      <c r="F46" s="22"/>
      <c r="G46" s="22"/>
      <c r="H46" s="22"/>
      <c r="I46" s="22"/>
      <c r="J46" s="22"/>
      <c r="K46" s="22"/>
      <c r="L46" s="22"/>
      <c r="M46" s="22"/>
      <c r="N46" s="22"/>
      <c r="O46" s="22"/>
      <c r="P46" s="22"/>
      <c r="Q46" s="22"/>
      <c r="R46" s="22"/>
      <c r="S46" s="22"/>
      <c r="T46" s="22"/>
      <c r="U46" s="22"/>
      <c r="V46" s="22"/>
    </row>
    <row r="47" spans="1:22" ht="18.75" customHeight="1" x14ac:dyDescent="0.25">
      <c r="A47" s="424"/>
      <c r="B47" s="425"/>
      <c r="C47" s="426"/>
      <c r="D47" s="423"/>
      <c r="E47" s="22"/>
      <c r="F47" s="22"/>
      <c r="G47" s="22"/>
      <c r="H47" s="22"/>
      <c r="I47" s="22"/>
      <c r="J47" s="22"/>
      <c r="K47" s="22"/>
      <c r="L47" s="22"/>
      <c r="M47" s="22"/>
      <c r="N47" s="22"/>
      <c r="O47" s="22"/>
      <c r="P47" s="22"/>
      <c r="Q47" s="22"/>
      <c r="R47" s="22"/>
      <c r="S47" s="22"/>
      <c r="T47" s="22"/>
      <c r="U47" s="22"/>
      <c r="V47" s="22"/>
    </row>
    <row r="48" spans="1:22" ht="75.75" customHeight="1" x14ac:dyDescent="0.25">
      <c r="A48" s="23" t="s">
        <v>403</v>
      </c>
      <c r="B48" s="38" t="s">
        <v>417</v>
      </c>
      <c r="C48" s="95" t="str">
        <f>CONCATENATE(ROUND('6.2. Паспорт фин осв ввод '!AC24,2)," млн.руб.")</f>
        <v>23,78 млн.руб.</v>
      </c>
      <c r="D48" s="205"/>
      <c r="E48" s="22"/>
      <c r="F48" s="22"/>
      <c r="G48" s="22"/>
      <c r="H48" s="22"/>
      <c r="I48" s="22"/>
      <c r="J48" s="22"/>
      <c r="K48" s="22"/>
      <c r="L48" s="22"/>
      <c r="M48" s="22"/>
      <c r="N48" s="22"/>
      <c r="O48" s="22"/>
      <c r="P48" s="22"/>
      <c r="Q48" s="22"/>
      <c r="R48" s="22"/>
      <c r="S48" s="22"/>
      <c r="T48" s="22"/>
      <c r="U48" s="22"/>
      <c r="V48" s="22"/>
    </row>
    <row r="49" spans="1:22" ht="71.25" customHeight="1" x14ac:dyDescent="0.25">
      <c r="A49" s="23" t="s">
        <v>371</v>
      </c>
      <c r="B49" s="38" t="s">
        <v>418</v>
      </c>
      <c r="C49" s="95" t="str">
        <f>CONCATENATE(ROUND('6.2. Паспорт фин осв ввод '!AC30,2)," млн.руб.")</f>
        <v>19,83 млн.руб.</v>
      </c>
      <c r="D49" s="205"/>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sheetData>
  <mergeCells count="13">
    <mergeCell ref="D1:D47"/>
    <mergeCell ref="A24:C24"/>
    <mergeCell ref="A39:C39"/>
    <mergeCell ref="A47:C47"/>
    <mergeCell ref="A5:C5"/>
    <mergeCell ref="A16:C16"/>
    <mergeCell ref="A18:C18"/>
    <mergeCell ref="A7:C7"/>
    <mergeCell ref="A9:C9"/>
    <mergeCell ref="A10:C10"/>
    <mergeCell ref="A12:C12"/>
    <mergeCell ref="A13:C13"/>
    <mergeCell ref="A15:C15"/>
  </mergeCells>
  <dataValidations count="3">
    <dataValidation type="list" allowBlank="1" showInputMessage="1" showErrorMessage="1" sqref="C23" xr:uid="{00000000-0002-0000-0000-000000000000}">
      <formula1>список1</formula1>
    </dataValidation>
    <dataValidation type="list" allowBlank="1" showInputMessage="1" showErrorMessage="1" sqref="C27" xr:uid="{00000000-0002-0000-0000-000001000000}">
      <formula1>список2</formula1>
    </dataValidation>
    <dataValidation type="list" allowBlank="1" showInputMessage="1" showErrorMessage="1" sqref="C22" xr:uid="{00000000-0002-0000-0000-000002000000}">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6" ySplit="5" topLeftCell="G25" activePane="bottomRight" state="frozen"/>
      <selection activeCell="C23" sqref="C23"/>
      <selection pane="topRight" activeCell="C23" sqref="C23"/>
      <selection pane="bottomLeft" activeCell="C23" sqref="C23"/>
      <selection pane="bottomRight" activeCell="O28" sqref="O28"/>
    </sheetView>
  </sheetViews>
  <sheetFormatPr defaultColWidth="9.140625" defaultRowHeight="15.75" x14ac:dyDescent="0.25"/>
  <cols>
    <col min="1" max="1" width="9.140625" style="55"/>
    <col min="2" max="2" width="57.85546875" style="55" customWidth="1"/>
    <col min="3" max="3" width="13" style="55" customWidth="1"/>
    <col min="4" max="4" width="17.85546875" style="55" customWidth="1"/>
    <col min="5" max="5" width="20.42578125" style="55" customWidth="1"/>
    <col min="6" max="6" width="18.7109375" style="55" customWidth="1"/>
    <col min="7" max="7" width="12.85546875" style="56" customWidth="1"/>
    <col min="8" max="27" width="9" style="56" customWidth="1"/>
    <col min="28" max="28" width="13.140625" style="55" customWidth="1"/>
    <col min="29" max="29" width="19.5703125" style="55" customWidth="1"/>
    <col min="30" max="30" width="11.5703125" style="55" customWidth="1"/>
    <col min="31" max="31" width="11" style="55" bestFit="1" customWidth="1"/>
    <col min="32" max="16384" width="9.140625" style="55"/>
  </cols>
  <sheetData>
    <row r="1" spans="1:29" ht="18.75" x14ac:dyDescent="0.25">
      <c r="A1" s="56"/>
      <c r="B1" s="56"/>
      <c r="C1" s="56"/>
      <c r="D1" s="56"/>
      <c r="E1" s="56"/>
      <c r="F1" s="56"/>
      <c r="AC1" s="37" t="s">
        <v>65</v>
      </c>
    </row>
    <row r="2" spans="1:29" ht="18.75" x14ac:dyDescent="0.3">
      <c r="A2" s="56"/>
      <c r="B2" s="56"/>
      <c r="C2" s="56"/>
      <c r="D2" s="56"/>
      <c r="E2" s="56"/>
      <c r="F2" s="56"/>
      <c r="AC2" s="14" t="s">
        <v>7</v>
      </c>
    </row>
    <row r="3" spans="1:29" ht="18.75" x14ac:dyDescent="0.3">
      <c r="A3" s="56"/>
      <c r="B3" s="56"/>
      <c r="C3" s="56"/>
      <c r="D3" s="56"/>
      <c r="E3" s="56"/>
      <c r="F3" s="56"/>
      <c r="AC3" s="14" t="s">
        <v>64</v>
      </c>
    </row>
    <row r="4" spans="1:29" ht="18.75" customHeight="1" x14ac:dyDescent="0.25">
      <c r="A4" s="427" t="str">
        <f>'1. паспорт местоположение'!A5:C5</f>
        <v>Год раскрытия информации: 2025 год</v>
      </c>
      <c r="B4" s="427"/>
      <c r="C4" s="427"/>
      <c r="D4" s="427"/>
      <c r="E4" s="427"/>
      <c r="F4" s="427"/>
      <c r="G4" s="427"/>
      <c r="H4" s="427"/>
      <c r="I4" s="427"/>
      <c r="J4" s="427"/>
      <c r="K4" s="427"/>
      <c r="L4" s="427"/>
      <c r="M4" s="427"/>
      <c r="N4" s="427"/>
      <c r="O4" s="427"/>
      <c r="P4" s="427"/>
      <c r="Q4" s="427"/>
      <c r="R4" s="427"/>
      <c r="S4" s="427"/>
      <c r="T4" s="427"/>
      <c r="U4" s="427"/>
      <c r="V4" s="427"/>
      <c r="W4" s="427"/>
      <c r="X4" s="427"/>
      <c r="Y4" s="427"/>
      <c r="Z4" s="427"/>
      <c r="AA4" s="427"/>
      <c r="AB4" s="427"/>
      <c r="AC4" s="427"/>
    </row>
    <row r="5" spans="1:29" ht="18.75" x14ac:dyDescent="0.3">
      <c r="A5" s="56"/>
      <c r="B5" s="56"/>
      <c r="C5" s="56"/>
      <c r="D5" s="56"/>
      <c r="E5" s="56"/>
      <c r="F5" s="56"/>
      <c r="AC5" s="14"/>
    </row>
    <row r="6" spans="1:29" ht="18.75" x14ac:dyDescent="0.25">
      <c r="A6" s="431" t="s">
        <v>6</v>
      </c>
      <c r="B6" s="431"/>
      <c r="C6" s="431"/>
      <c r="D6" s="431"/>
      <c r="E6" s="431"/>
      <c r="F6" s="431"/>
      <c r="G6" s="431"/>
      <c r="H6" s="431"/>
      <c r="I6" s="431"/>
      <c r="J6" s="431"/>
      <c r="K6" s="431"/>
      <c r="L6" s="431"/>
      <c r="M6" s="431"/>
      <c r="N6" s="431"/>
      <c r="O6" s="431"/>
      <c r="P6" s="431"/>
      <c r="Q6" s="431"/>
      <c r="R6" s="431"/>
      <c r="S6" s="431"/>
      <c r="T6" s="431"/>
      <c r="U6" s="431"/>
      <c r="V6" s="431"/>
      <c r="W6" s="431"/>
      <c r="X6" s="431"/>
      <c r="Y6" s="431"/>
      <c r="Z6" s="431"/>
      <c r="AA6" s="431"/>
      <c r="AB6" s="431"/>
      <c r="AC6" s="431"/>
    </row>
    <row r="7" spans="1:29" ht="18.75" x14ac:dyDescent="0.25">
      <c r="A7" s="92"/>
      <c r="B7" s="92"/>
      <c r="C7" s="92"/>
      <c r="D7" s="92"/>
      <c r="E7" s="92"/>
      <c r="F7" s="92"/>
      <c r="G7" s="92"/>
      <c r="H7" s="92"/>
      <c r="I7" s="92"/>
      <c r="J7" s="306"/>
      <c r="K7" s="306"/>
      <c r="L7" s="306"/>
      <c r="M7" s="306"/>
      <c r="N7" s="306"/>
      <c r="O7" s="306"/>
      <c r="P7" s="306"/>
      <c r="Q7" s="306"/>
      <c r="R7" s="306"/>
      <c r="S7" s="306"/>
      <c r="T7" s="306"/>
      <c r="U7" s="306"/>
      <c r="V7" s="306"/>
      <c r="W7" s="306"/>
      <c r="X7" s="306"/>
      <c r="Y7" s="306"/>
      <c r="Z7" s="306"/>
      <c r="AA7" s="306"/>
      <c r="AB7" s="306"/>
      <c r="AC7" s="306"/>
    </row>
    <row r="8" spans="1:29" x14ac:dyDescent="0.25">
      <c r="A8" s="457" t="str">
        <f>'1. паспорт местоположение'!A9:C9</f>
        <v>Акционерное общество "Россети Янтарь" ДЗО  ПАО "Россети"</v>
      </c>
      <c r="B8" s="457"/>
      <c r="C8" s="457"/>
      <c r="D8" s="457"/>
      <c r="E8" s="457"/>
      <c r="F8" s="457"/>
      <c r="G8" s="457"/>
      <c r="H8" s="457"/>
      <c r="I8" s="457"/>
      <c r="J8" s="457"/>
      <c r="K8" s="457"/>
      <c r="L8" s="457"/>
      <c r="M8" s="457"/>
      <c r="N8" s="457"/>
      <c r="O8" s="457"/>
      <c r="P8" s="457"/>
      <c r="Q8" s="457"/>
      <c r="R8" s="457"/>
      <c r="S8" s="457"/>
      <c r="T8" s="457"/>
      <c r="U8" s="457"/>
      <c r="V8" s="457"/>
      <c r="W8" s="457"/>
      <c r="X8" s="457"/>
      <c r="Y8" s="457"/>
      <c r="Z8" s="457"/>
      <c r="AA8" s="457"/>
      <c r="AB8" s="457"/>
      <c r="AC8" s="457"/>
    </row>
    <row r="9" spans="1:29" ht="18.75" customHeight="1" x14ac:dyDescent="0.25">
      <c r="A9" s="428" t="s">
        <v>5</v>
      </c>
      <c r="B9" s="428"/>
      <c r="C9" s="428"/>
      <c r="D9" s="428"/>
      <c r="E9" s="428"/>
      <c r="F9" s="428"/>
      <c r="G9" s="428"/>
      <c r="H9" s="428"/>
      <c r="I9" s="428"/>
      <c r="J9" s="428"/>
      <c r="K9" s="428"/>
      <c r="L9" s="428"/>
      <c r="M9" s="428"/>
      <c r="N9" s="428"/>
      <c r="O9" s="428"/>
      <c r="P9" s="428"/>
      <c r="Q9" s="428"/>
      <c r="R9" s="428"/>
      <c r="S9" s="428"/>
      <c r="T9" s="428"/>
      <c r="U9" s="428"/>
      <c r="V9" s="428"/>
      <c r="W9" s="428"/>
      <c r="X9" s="428"/>
      <c r="Y9" s="428"/>
      <c r="Z9" s="428"/>
      <c r="AA9" s="428"/>
      <c r="AB9" s="428"/>
      <c r="AC9" s="428"/>
    </row>
    <row r="10" spans="1:29" ht="18.75" x14ac:dyDescent="0.25">
      <c r="A10" s="92"/>
      <c r="B10" s="92"/>
      <c r="C10" s="92"/>
      <c r="D10" s="92"/>
      <c r="E10" s="92"/>
      <c r="F10" s="92"/>
      <c r="G10" s="92"/>
      <c r="H10" s="92"/>
      <c r="I10" s="92"/>
      <c r="J10" s="306"/>
      <c r="K10" s="306"/>
      <c r="L10" s="306"/>
      <c r="M10" s="306"/>
      <c r="N10" s="306"/>
      <c r="O10" s="306"/>
      <c r="P10" s="306"/>
      <c r="Q10" s="306"/>
      <c r="R10" s="306"/>
      <c r="S10" s="306"/>
      <c r="T10" s="306"/>
      <c r="U10" s="306"/>
      <c r="V10" s="306"/>
      <c r="W10" s="306"/>
      <c r="X10" s="306"/>
      <c r="Y10" s="306"/>
      <c r="Z10" s="306"/>
      <c r="AA10" s="306"/>
      <c r="AB10" s="306"/>
      <c r="AC10" s="306"/>
    </row>
    <row r="11" spans="1:29" x14ac:dyDescent="0.25">
      <c r="A11" s="457" t="str">
        <f>'1. паспорт местоположение'!A12:C12</f>
        <v>N_19-1035-1</v>
      </c>
      <c r="B11" s="457"/>
      <c r="C11" s="457"/>
      <c r="D11" s="457"/>
      <c r="E11" s="457"/>
      <c r="F11" s="457"/>
      <c r="G11" s="457"/>
      <c r="H11" s="457"/>
      <c r="I11" s="457"/>
      <c r="J11" s="457"/>
      <c r="K11" s="457"/>
      <c r="L11" s="457"/>
      <c r="M11" s="457"/>
      <c r="N11" s="457"/>
      <c r="O11" s="457"/>
      <c r="P11" s="457"/>
      <c r="Q11" s="457"/>
      <c r="R11" s="457"/>
      <c r="S11" s="457"/>
      <c r="T11" s="457"/>
      <c r="U11" s="457"/>
      <c r="V11" s="457"/>
      <c r="W11" s="457"/>
      <c r="X11" s="457"/>
      <c r="Y11" s="457"/>
      <c r="Z11" s="457"/>
      <c r="AA11" s="457"/>
      <c r="AB11" s="457"/>
      <c r="AC11" s="457"/>
    </row>
    <row r="12" spans="1:29" x14ac:dyDescent="0.25">
      <c r="A12" s="428" t="s">
        <v>4</v>
      </c>
      <c r="B12" s="428"/>
      <c r="C12" s="428"/>
      <c r="D12" s="428"/>
      <c r="E12" s="428"/>
      <c r="F12" s="428"/>
      <c r="G12" s="428"/>
      <c r="H12" s="428"/>
      <c r="I12" s="428"/>
      <c r="J12" s="428"/>
      <c r="K12" s="428"/>
      <c r="L12" s="428"/>
      <c r="M12" s="428"/>
      <c r="N12" s="428"/>
      <c r="O12" s="428"/>
      <c r="P12" s="428"/>
      <c r="Q12" s="428"/>
      <c r="R12" s="428"/>
      <c r="S12" s="428"/>
      <c r="T12" s="428"/>
      <c r="U12" s="428"/>
      <c r="V12" s="428"/>
      <c r="W12" s="428"/>
      <c r="X12" s="428"/>
      <c r="Y12" s="428"/>
      <c r="Z12" s="428"/>
      <c r="AA12" s="428"/>
      <c r="AB12" s="428"/>
      <c r="AC12" s="428"/>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45.75" customHeight="1" x14ac:dyDescent="0.25">
      <c r="A14" s="458" t="str">
        <f>'1. паспорт местоположение'!A15</f>
        <v>Реконструкция ЛЭП 0,23 кВ с переводом на напряжение 0,4 кВ: демонтаж ЛЭП 0,23 кВ протяженностью 1,055 км, строительство ЛЭП 0,4 кВ протяженностью 1,493 км, демонтаж ТП 6/0,23 кВ ТП-73 мощностью 0,15 МВА, демонтаж трансформатора 6/0,23 кВ  0,185 МВА в РП-VI, дооборудование резервной ячейки в РП-VI вакуумным выключателем 6 кВ и строительство 0,506 км кабельных линий 6 кВ в г. Калининграде</v>
      </c>
      <c r="B14" s="458"/>
      <c r="C14" s="458"/>
      <c r="D14" s="458"/>
      <c r="E14" s="458"/>
      <c r="F14" s="458"/>
      <c r="G14" s="458"/>
      <c r="H14" s="458"/>
      <c r="I14" s="458"/>
      <c r="J14" s="458"/>
      <c r="K14" s="458"/>
      <c r="L14" s="458"/>
      <c r="M14" s="458"/>
      <c r="N14" s="458"/>
      <c r="O14" s="458"/>
      <c r="P14" s="458"/>
      <c r="Q14" s="458"/>
      <c r="R14" s="458"/>
      <c r="S14" s="458"/>
      <c r="T14" s="458"/>
      <c r="U14" s="458"/>
      <c r="V14" s="458"/>
      <c r="W14" s="458"/>
      <c r="X14" s="458"/>
      <c r="Y14" s="458"/>
      <c r="Z14" s="458"/>
      <c r="AA14" s="458"/>
      <c r="AB14" s="458"/>
      <c r="AC14" s="458"/>
    </row>
    <row r="15" spans="1:29" ht="15.75" customHeight="1" x14ac:dyDescent="0.25">
      <c r="A15" s="428" t="s">
        <v>3</v>
      </c>
      <c r="B15" s="428"/>
      <c r="C15" s="428"/>
      <c r="D15" s="428"/>
      <c r="E15" s="428"/>
      <c r="F15" s="428"/>
      <c r="G15" s="428"/>
      <c r="H15" s="428"/>
      <c r="I15" s="428"/>
      <c r="J15" s="428"/>
      <c r="K15" s="428"/>
      <c r="L15" s="428"/>
      <c r="M15" s="428"/>
      <c r="N15" s="428"/>
      <c r="O15" s="428"/>
      <c r="P15" s="428"/>
      <c r="Q15" s="428"/>
      <c r="R15" s="428"/>
      <c r="S15" s="428"/>
      <c r="T15" s="428"/>
      <c r="U15" s="428"/>
      <c r="V15" s="428"/>
      <c r="W15" s="428"/>
      <c r="X15" s="428"/>
      <c r="Y15" s="428"/>
      <c r="Z15" s="428"/>
      <c r="AA15" s="428"/>
      <c r="AB15" s="428"/>
      <c r="AC15" s="428"/>
    </row>
    <row r="16" spans="1:29" x14ac:dyDescent="0.25">
      <c r="A16" s="528"/>
      <c r="B16" s="528"/>
      <c r="C16" s="528"/>
      <c r="D16" s="528"/>
      <c r="E16" s="528"/>
      <c r="F16" s="528"/>
      <c r="G16" s="528"/>
      <c r="H16" s="528"/>
      <c r="I16" s="528"/>
      <c r="J16" s="528"/>
      <c r="K16" s="528"/>
      <c r="L16" s="528"/>
      <c r="M16" s="528"/>
      <c r="N16" s="528"/>
      <c r="O16" s="528"/>
      <c r="P16" s="528"/>
      <c r="Q16" s="528"/>
      <c r="R16" s="528"/>
      <c r="S16" s="528"/>
      <c r="T16" s="528"/>
      <c r="U16" s="528"/>
      <c r="V16" s="528"/>
      <c r="W16" s="528"/>
      <c r="X16" s="528"/>
      <c r="Y16" s="528"/>
      <c r="Z16" s="528"/>
      <c r="AA16" s="528"/>
      <c r="AB16" s="528"/>
      <c r="AC16" s="528"/>
    </row>
    <row r="17" spans="1:32" x14ac:dyDescent="0.25">
      <c r="A17" s="56"/>
      <c r="AB17" s="56"/>
    </row>
    <row r="18" spans="1:32" x14ac:dyDescent="0.25">
      <c r="A18" s="529" t="s">
        <v>391</v>
      </c>
      <c r="B18" s="529"/>
      <c r="C18" s="529"/>
      <c r="D18" s="529"/>
      <c r="E18" s="529"/>
      <c r="F18" s="529"/>
      <c r="G18" s="529"/>
      <c r="H18" s="529"/>
      <c r="I18" s="529"/>
      <c r="J18" s="529"/>
      <c r="K18" s="529"/>
      <c r="L18" s="529"/>
      <c r="M18" s="529"/>
      <c r="N18" s="529"/>
      <c r="O18" s="529"/>
      <c r="P18" s="529"/>
      <c r="Q18" s="529"/>
      <c r="R18" s="529"/>
      <c r="S18" s="529"/>
      <c r="T18" s="529"/>
      <c r="U18" s="529"/>
      <c r="V18" s="529"/>
      <c r="W18" s="529"/>
      <c r="X18" s="529"/>
      <c r="Y18" s="529"/>
      <c r="Z18" s="529"/>
      <c r="AA18" s="529"/>
      <c r="AB18" s="529"/>
      <c r="AC18" s="529"/>
    </row>
    <row r="19" spans="1:32" x14ac:dyDescent="0.25">
      <c r="A19" s="56"/>
      <c r="B19" s="56"/>
      <c r="C19" s="56"/>
      <c r="D19" s="56"/>
      <c r="E19" s="56"/>
      <c r="F19" s="56"/>
      <c r="AB19" s="56"/>
    </row>
    <row r="20" spans="1:32" ht="33" customHeight="1" x14ac:dyDescent="0.25">
      <c r="A20" s="521" t="s">
        <v>180</v>
      </c>
      <c r="B20" s="521" t="s">
        <v>179</v>
      </c>
      <c r="C20" s="523" t="s">
        <v>178</v>
      </c>
      <c r="D20" s="523"/>
      <c r="E20" s="524" t="s">
        <v>177</v>
      </c>
      <c r="F20" s="524"/>
      <c r="G20" s="525" t="s">
        <v>594</v>
      </c>
      <c r="H20" s="519" t="s">
        <v>546</v>
      </c>
      <c r="I20" s="520"/>
      <c r="J20" s="520"/>
      <c r="K20" s="520"/>
      <c r="L20" s="519" t="s">
        <v>547</v>
      </c>
      <c r="M20" s="520"/>
      <c r="N20" s="520"/>
      <c r="O20" s="520"/>
      <c r="P20" s="519" t="s">
        <v>548</v>
      </c>
      <c r="Q20" s="520"/>
      <c r="R20" s="520"/>
      <c r="S20" s="520"/>
      <c r="T20" s="519" t="s">
        <v>549</v>
      </c>
      <c r="U20" s="520"/>
      <c r="V20" s="520"/>
      <c r="W20" s="520"/>
      <c r="X20" s="519" t="s">
        <v>550</v>
      </c>
      <c r="Y20" s="520"/>
      <c r="Z20" s="520"/>
      <c r="AA20" s="520"/>
      <c r="AB20" s="530" t="s">
        <v>176</v>
      </c>
      <c r="AC20" s="530"/>
      <c r="AD20" s="65"/>
      <c r="AE20" s="65"/>
      <c r="AF20" s="65"/>
    </row>
    <row r="21" spans="1:32" ht="99.75" customHeight="1" x14ac:dyDescent="0.25">
      <c r="A21" s="522"/>
      <c r="B21" s="522"/>
      <c r="C21" s="523"/>
      <c r="D21" s="523"/>
      <c r="E21" s="524"/>
      <c r="F21" s="524"/>
      <c r="G21" s="526"/>
      <c r="H21" s="523" t="s">
        <v>1</v>
      </c>
      <c r="I21" s="523"/>
      <c r="J21" s="523" t="s">
        <v>8</v>
      </c>
      <c r="K21" s="523"/>
      <c r="L21" s="523" t="s">
        <v>1</v>
      </c>
      <c r="M21" s="523"/>
      <c r="N21" s="523" t="s">
        <v>8</v>
      </c>
      <c r="O21" s="523"/>
      <c r="P21" s="523" t="s">
        <v>1</v>
      </c>
      <c r="Q21" s="523"/>
      <c r="R21" s="523" t="s">
        <v>8</v>
      </c>
      <c r="S21" s="523"/>
      <c r="T21" s="523" t="s">
        <v>1</v>
      </c>
      <c r="U21" s="523"/>
      <c r="V21" s="523" t="s">
        <v>8</v>
      </c>
      <c r="W21" s="523"/>
      <c r="X21" s="523" t="s">
        <v>1</v>
      </c>
      <c r="Y21" s="523"/>
      <c r="Z21" s="523" t="s">
        <v>8</v>
      </c>
      <c r="AA21" s="523"/>
      <c r="AB21" s="530"/>
      <c r="AC21" s="530"/>
    </row>
    <row r="22" spans="1:32" ht="89.25" customHeight="1" x14ac:dyDescent="0.25">
      <c r="A22" s="511"/>
      <c r="B22" s="511"/>
      <c r="C22" s="365" t="s">
        <v>1</v>
      </c>
      <c r="D22" s="365" t="s">
        <v>175</v>
      </c>
      <c r="E22" s="366" t="s">
        <v>551</v>
      </c>
      <c r="F22" s="366" t="s">
        <v>639</v>
      </c>
      <c r="G22" s="527"/>
      <c r="H22" s="367" t="s">
        <v>372</v>
      </c>
      <c r="I22" s="367" t="s">
        <v>373</v>
      </c>
      <c r="J22" s="367" t="s">
        <v>372</v>
      </c>
      <c r="K22" s="367" t="s">
        <v>373</v>
      </c>
      <c r="L22" s="367" t="s">
        <v>372</v>
      </c>
      <c r="M22" s="367" t="s">
        <v>373</v>
      </c>
      <c r="N22" s="367" t="s">
        <v>372</v>
      </c>
      <c r="O22" s="367" t="s">
        <v>373</v>
      </c>
      <c r="P22" s="367" t="s">
        <v>372</v>
      </c>
      <c r="Q22" s="367" t="s">
        <v>373</v>
      </c>
      <c r="R22" s="367" t="s">
        <v>372</v>
      </c>
      <c r="S22" s="367" t="s">
        <v>373</v>
      </c>
      <c r="T22" s="367" t="s">
        <v>372</v>
      </c>
      <c r="U22" s="367" t="s">
        <v>373</v>
      </c>
      <c r="V22" s="367" t="s">
        <v>372</v>
      </c>
      <c r="W22" s="367" t="s">
        <v>373</v>
      </c>
      <c r="X22" s="367" t="s">
        <v>372</v>
      </c>
      <c r="Y22" s="367" t="s">
        <v>373</v>
      </c>
      <c r="Z22" s="367" t="s">
        <v>372</v>
      </c>
      <c r="AA22" s="367" t="s">
        <v>373</v>
      </c>
      <c r="AB22" s="365" t="s">
        <v>1</v>
      </c>
      <c r="AC22" s="365" t="s">
        <v>8</v>
      </c>
    </row>
    <row r="23" spans="1:32" ht="19.5" customHeight="1" x14ac:dyDescent="0.25">
      <c r="A23" s="307">
        <v>1</v>
      </c>
      <c r="B23" s="307">
        <v>2</v>
      </c>
      <c r="C23" s="368">
        <v>3</v>
      </c>
      <c r="D23" s="368">
        <v>4</v>
      </c>
      <c r="E23" s="368">
        <v>5</v>
      </c>
      <c r="F23" s="368">
        <v>6</v>
      </c>
      <c r="G23" s="368">
        <v>7</v>
      </c>
      <c r="H23" s="368">
        <v>8</v>
      </c>
      <c r="I23" s="368">
        <v>9</v>
      </c>
      <c r="J23" s="368">
        <v>10</v>
      </c>
      <c r="K23" s="368">
        <v>11</v>
      </c>
      <c r="L23" s="368">
        <v>12</v>
      </c>
      <c r="M23" s="368">
        <v>13</v>
      </c>
      <c r="N23" s="368">
        <v>14</v>
      </c>
      <c r="O23" s="368">
        <v>15</v>
      </c>
      <c r="P23" s="368">
        <v>16</v>
      </c>
      <c r="Q23" s="368">
        <v>17</v>
      </c>
      <c r="R23" s="368">
        <v>18</v>
      </c>
      <c r="S23" s="368">
        <v>19</v>
      </c>
      <c r="T23" s="368">
        <v>20</v>
      </c>
      <c r="U23" s="368">
        <v>21</v>
      </c>
      <c r="V23" s="368">
        <v>22</v>
      </c>
      <c r="W23" s="368">
        <v>23</v>
      </c>
      <c r="X23" s="368">
        <v>24</v>
      </c>
      <c r="Y23" s="368">
        <v>25</v>
      </c>
      <c r="Z23" s="368">
        <v>26</v>
      </c>
      <c r="AA23" s="368">
        <v>27</v>
      </c>
      <c r="AB23" s="368">
        <v>28</v>
      </c>
      <c r="AC23" s="368">
        <v>29</v>
      </c>
    </row>
    <row r="24" spans="1:32" ht="47.25" customHeight="1" x14ac:dyDescent="0.25">
      <c r="A24" s="308">
        <v>1</v>
      </c>
      <c r="B24" s="309" t="s">
        <v>174</v>
      </c>
      <c r="C24" s="310">
        <f t="shared" ref="C24" si="0">SUM(C25:C29)</f>
        <v>20.79148644</v>
      </c>
      <c r="D24" s="310">
        <f t="shared" ref="D24" si="1">SUM(D25:D29)</f>
        <v>0</v>
      </c>
      <c r="E24" s="310">
        <f t="shared" ref="E24:AA24" si="2">SUM(E25:E29)</f>
        <v>20.79148644</v>
      </c>
      <c r="F24" s="310">
        <f t="shared" si="2"/>
        <v>16.20620533</v>
      </c>
      <c r="G24" s="310">
        <f t="shared" si="2"/>
        <v>0</v>
      </c>
      <c r="H24" s="310">
        <f t="shared" ref="H24:I24" si="3">SUM(H25:H29)</f>
        <v>20.79148644</v>
      </c>
      <c r="I24" s="310">
        <f t="shared" si="3"/>
        <v>0</v>
      </c>
      <c r="J24" s="310">
        <f t="shared" ref="J24:K24" si="4">SUM(J25:J29)</f>
        <v>4.5852811100000004</v>
      </c>
      <c r="K24" s="310">
        <f t="shared" si="4"/>
        <v>0</v>
      </c>
      <c r="L24" s="310">
        <f t="shared" si="2"/>
        <v>0</v>
      </c>
      <c r="M24" s="310">
        <f t="shared" si="2"/>
        <v>0</v>
      </c>
      <c r="N24" s="310">
        <f t="shared" si="2"/>
        <v>19.196291410000001</v>
      </c>
      <c r="O24" s="310">
        <f t="shared" si="2"/>
        <v>0</v>
      </c>
      <c r="P24" s="310">
        <f t="shared" si="2"/>
        <v>0</v>
      </c>
      <c r="Q24" s="310">
        <f t="shared" si="2"/>
        <v>0</v>
      </c>
      <c r="R24" s="310">
        <f t="shared" si="2"/>
        <v>0</v>
      </c>
      <c r="S24" s="310">
        <f t="shared" si="2"/>
        <v>0</v>
      </c>
      <c r="T24" s="310">
        <f t="shared" si="2"/>
        <v>0</v>
      </c>
      <c r="U24" s="310">
        <f t="shared" si="2"/>
        <v>0</v>
      </c>
      <c r="V24" s="310">
        <f t="shared" si="2"/>
        <v>0</v>
      </c>
      <c r="W24" s="310">
        <f t="shared" si="2"/>
        <v>0</v>
      </c>
      <c r="X24" s="310">
        <f t="shared" si="2"/>
        <v>0</v>
      </c>
      <c r="Y24" s="310">
        <f t="shared" si="2"/>
        <v>0</v>
      </c>
      <c r="Z24" s="310">
        <f t="shared" si="2"/>
        <v>0</v>
      </c>
      <c r="AA24" s="310">
        <f t="shared" si="2"/>
        <v>0</v>
      </c>
      <c r="AB24" s="310">
        <f>H24+L24+P24+T24+X24</f>
        <v>20.79148644</v>
      </c>
      <c r="AC24" s="311">
        <f>J24+N24+R24+V24+Z24</f>
        <v>23.781572520000001</v>
      </c>
    </row>
    <row r="25" spans="1:32" ht="24" customHeight="1" x14ac:dyDescent="0.25">
      <c r="A25" s="312" t="s">
        <v>173</v>
      </c>
      <c r="B25" s="313" t="s">
        <v>172</v>
      </c>
      <c r="C25" s="310">
        <v>0</v>
      </c>
      <c r="D25" s="310">
        <v>0</v>
      </c>
      <c r="E25" s="310">
        <f>C25</f>
        <v>0</v>
      </c>
      <c r="F25" s="310">
        <f>E25-G25-J25</f>
        <v>0</v>
      </c>
      <c r="G25" s="314">
        <v>0</v>
      </c>
      <c r="H25" s="314">
        <v>0</v>
      </c>
      <c r="I25" s="314">
        <v>0</v>
      </c>
      <c r="J25" s="314">
        <v>0</v>
      </c>
      <c r="K25" s="314">
        <v>0</v>
      </c>
      <c r="L25" s="314">
        <v>0</v>
      </c>
      <c r="M25" s="314">
        <v>0</v>
      </c>
      <c r="N25" s="314">
        <v>0</v>
      </c>
      <c r="O25" s="314">
        <v>0</v>
      </c>
      <c r="P25" s="314">
        <v>0</v>
      </c>
      <c r="Q25" s="314">
        <v>0</v>
      </c>
      <c r="R25" s="314">
        <v>0</v>
      </c>
      <c r="S25" s="314">
        <v>0</v>
      </c>
      <c r="T25" s="314">
        <v>0</v>
      </c>
      <c r="U25" s="314">
        <v>0</v>
      </c>
      <c r="V25" s="314">
        <v>0</v>
      </c>
      <c r="W25" s="314">
        <v>0</v>
      </c>
      <c r="X25" s="314">
        <v>0</v>
      </c>
      <c r="Y25" s="314">
        <v>0</v>
      </c>
      <c r="Z25" s="314">
        <v>0</v>
      </c>
      <c r="AA25" s="314">
        <v>0</v>
      </c>
      <c r="AB25" s="310">
        <f t="shared" ref="AB25:AB64" si="5">H25+L25+P25+T25+X25</f>
        <v>0</v>
      </c>
      <c r="AC25" s="311">
        <f t="shared" ref="AC25:AC64" si="6">J25+N25+R25+V25+Z25</f>
        <v>0</v>
      </c>
    </row>
    <row r="26" spans="1:32" x14ac:dyDescent="0.25">
      <c r="A26" s="312" t="s">
        <v>171</v>
      </c>
      <c r="B26" s="313" t="s">
        <v>170</v>
      </c>
      <c r="C26" s="310">
        <v>0</v>
      </c>
      <c r="D26" s="310">
        <v>0</v>
      </c>
      <c r="E26" s="310">
        <f>C26</f>
        <v>0</v>
      </c>
      <c r="F26" s="310">
        <f t="shared" ref="F26:F64" si="7">E26-G26-J26</f>
        <v>0</v>
      </c>
      <c r="G26" s="314">
        <v>0</v>
      </c>
      <c r="H26" s="314">
        <v>0</v>
      </c>
      <c r="I26" s="314">
        <v>0</v>
      </c>
      <c r="J26" s="314">
        <v>0</v>
      </c>
      <c r="K26" s="314">
        <v>0</v>
      </c>
      <c r="L26" s="314">
        <v>0</v>
      </c>
      <c r="M26" s="314">
        <v>0</v>
      </c>
      <c r="N26" s="314">
        <v>0</v>
      </c>
      <c r="O26" s="314">
        <v>0</v>
      </c>
      <c r="P26" s="314">
        <v>0</v>
      </c>
      <c r="Q26" s="314">
        <v>0</v>
      </c>
      <c r="R26" s="314">
        <v>0</v>
      </c>
      <c r="S26" s="314">
        <v>0</v>
      </c>
      <c r="T26" s="314">
        <v>0</v>
      </c>
      <c r="U26" s="314">
        <v>0</v>
      </c>
      <c r="V26" s="314">
        <v>0</v>
      </c>
      <c r="W26" s="314">
        <v>0</v>
      </c>
      <c r="X26" s="314">
        <v>0</v>
      </c>
      <c r="Y26" s="314">
        <v>0</v>
      </c>
      <c r="Z26" s="314">
        <v>0</v>
      </c>
      <c r="AA26" s="314">
        <v>0</v>
      </c>
      <c r="AB26" s="310">
        <f t="shared" si="5"/>
        <v>0</v>
      </c>
      <c r="AC26" s="311">
        <f t="shared" si="6"/>
        <v>0</v>
      </c>
    </row>
    <row r="27" spans="1:32" ht="31.5" x14ac:dyDescent="0.25">
      <c r="A27" s="312" t="s">
        <v>169</v>
      </c>
      <c r="B27" s="313" t="s">
        <v>354</v>
      </c>
      <c r="C27" s="310">
        <v>20.79148644</v>
      </c>
      <c r="D27" s="310">
        <v>0</v>
      </c>
      <c r="E27" s="310">
        <f>C27</f>
        <v>20.79148644</v>
      </c>
      <c r="F27" s="310">
        <f t="shared" si="7"/>
        <v>16.20620533</v>
      </c>
      <c r="G27" s="314">
        <v>0</v>
      </c>
      <c r="H27" s="314">
        <v>20.79148644</v>
      </c>
      <c r="I27" s="314">
        <v>0</v>
      </c>
      <c r="J27" s="314">
        <v>4.5852811100000004</v>
      </c>
      <c r="K27" s="314">
        <v>0</v>
      </c>
      <c r="L27" s="314">
        <v>0</v>
      </c>
      <c r="M27" s="314">
        <v>0</v>
      </c>
      <c r="N27" s="314">
        <v>19.196291410000001</v>
      </c>
      <c r="O27" s="314">
        <v>0</v>
      </c>
      <c r="P27" s="314">
        <v>0</v>
      </c>
      <c r="Q27" s="314">
        <v>0</v>
      </c>
      <c r="R27" s="314">
        <v>0</v>
      </c>
      <c r="S27" s="314">
        <v>0</v>
      </c>
      <c r="T27" s="314">
        <v>0</v>
      </c>
      <c r="U27" s="314">
        <v>0</v>
      </c>
      <c r="V27" s="314">
        <v>0</v>
      </c>
      <c r="W27" s="314">
        <v>0</v>
      </c>
      <c r="X27" s="314">
        <v>0</v>
      </c>
      <c r="Y27" s="314">
        <v>0</v>
      </c>
      <c r="Z27" s="314">
        <v>0</v>
      </c>
      <c r="AA27" s="314">
        <v>0</v>
      </c>
      <c r="AB27" s="310">
        <f t="shared" si="5"/>
        <v>20.79148644</v>
      </c>
      <c r="AC27" s="311">
        <f t="shared" si="6"/>
        <v>23.781572520000001</v>
      </c>
    </row>
    <row r="28" spans="1:32" x14ac:dyDescent="0.25">
      <c r="A28" s="312" t="s">
        <v>168</v>
      </c>
      <c r="B28" s="313" t="s">
        <v>552</v>
      </c>
      <c r="C28" s="310">
        <v>0</v>
      </c>
      <c r="D28" s="310">
        <v>0</v>
      </c>
      <c r="E28" s="310">
        <f>C28</f>
        <v>0</v>
      </c>
      <c r="F28" s="310">
        <f t="shared" si="7"/>
        <v>0</v>
      </c>
      <c r="G28" s="314">
        <v>0</v>
      </c>
      <c r="H28" s="314">
        <v>0</v>
      </c>
      <c r="I28" s="314">
        <v>0</v>
      </c>
      <c r="J28" s="314">
        <v>0</v>
      </c>
      <c r="K28" s="314">
        <v>0</v>
      </c>
      <c r="L28" s="314">
        <v>0</v>
      </c>
      <c r="M28" s="314">
        <v>0</v>
      </c>
      <c r="N28" s="314">
        <v>0</v>
      </c>
      <c r="O28" s="314">
        <v>0</v>
      </c>
      <c r="P28" s="314">
        <v>0</v>
      </c>
      <c r="Q28" s="314">
        <v>0</v>
      </c>
      <c r="R28" s="314">
        <v>0</v>
      </c>
      <c r="S28" s="314">
        <v>0</v>
      </c>
      <c r="T28" s="314">
        <v>0</v>
      </c>
      <c r="U28" s="314">
        <v>0</v>
      </c>
      <c r="V28" s="314">
        <v>0</v>
      </c>
      <c r="W28" s="314">
        <v>0</v>
      </c>
      <c r="X28" s="314">
        <v>0</v>
      </c>
      <c r="Y28" s="314">
        <v>0</v>
      </c>
      <c r="Z28" s="314">
        <v>0</v>
      </c>
      <c r="AA28" s="314">
        <v>0</v>
      </c>
      <c r="AB28" s="310">
        <f t="shared" si="5"/>
        <v>0</v>
      </c>
      <c r="AC28" s="311">
        <f t="shared" si="6"/>
        <v>0</v>
      </c>
    </row>
    <row r="29" spans="1:32" x14ac:dyDescent="0.25">
      <c r="A29" s="312" t="s">
        <v>167</v>
      </c>
      <c r="B29" s="64" t="s">
        <v>166</v>
      </c>
      <c r="C29" s="310">
        <v>0</v>
      </c>
      <c r="D29" s="310">
        <v>0</v>
      </c>
      <c r="E29" s="310">
        <f>C29</f>
        <v>0</v>
      </c>
      <c r="F29" s="310">
        <f t="shared" si="7"/>
        <v>0</v>
      </c>
      <c r="G29" s="314">
        <v>0</v>
      </c>
      <c r="H29" s="314">
        <v>0</v>
      </c>
      <c r="I29" s="314">
        <v>0</v>
      </c>
      <c r="J29" s="314">
        <v>0</v>
      </c>
      <c r="K29" s="314">
        <v>0</v>
      </c>
      <c r="L29" s="314">
        <v>0</v>
      </c>
      <c r="M29" s="314">
        <v>0</v>
      </c>
      <c r="N29" s="314">
        <v>0</v>
      </c>
      <c r="O29" s="314">
        <v>0</v>
      </c>
      <c r="P29" s="314">
        <v>0</v>
      </c>
      <c r="Q29" s="314">
        <v>0</v>
      </c>
      <c r="R29" s="314">
        <v>0</v>
      </c>
      <c r="S29" s="314">
        <v>0</v>
      </c>
      <c r="T29" s="314">
        <v>0</v>
      </c>
      <c r="U29" s="314">
        <v>0</v>
      </c>
      <c r="V29" s="314">
        <v>0</v>
      </c>
      <c r="W29" s="314">
        <v>0</v>
      </c>
      <c r="X29" s="314">
        <v>0</v>
      </c>
      <c r="Y29" s="314">
        <v>0</v>
      </c>
      <c r="Z29" s="314">
        <v>0</v>
      </c>
      <c r="AA29" s="314">
        <v>0</v>
      </c>
      <c r="AB29" s="310">
        <f t="shared" si="5"/>
        <v>0</v>
      </c>
      <c r="AC29" s="311">
        <f t="shared" si="6"/>
        <v>0</v>
      </c>
    </row>
    <row r="30" spans="1:32" ht="47.25" x14ac:dyDescent="0.25">
      <c r="A30" s="308" t="s">
        <v>60</v>
      </c>
      <c r="B30" s="309" t="s">
        <v>165</v>
      </c>
      <c r="C30" s="310">
        <f t="shared" ref="C30:D30" si="8">SUM(C31:C34)</f>
        <v>17.326238700000001</v>
      </c>
      <c r="D30" s="310">
        <f t="shared" si="8"/>
        <v>0</v>
      </c>
      <c r="E30" s="310">
        <f t="shared" ref="E30:AA30" si="9">SUM(E31:E34)</f>
        <v>17.326238700000001</v>
      </c>
      <c r="F30" s="310">
        <f t="shared" si="7"/>
        <v>-2.5030883999999958</v>
      </c>
      <c r="G30" s="310">
        <f t="shared" si="9"/>
        <v>0</v>
      </c>
      <c r="H30" s="310">
        <f t="shared" ref="H30:I30" si="10">SUM(H31:H34)</f>
        <v>17.326238700000001</v>
      </c>
      <c r="I30" s="310">
        <f t="shared" si="10"/>
        <v>0</v>
      </c>
      <c r="J30" s="310">
        <f t="shared" ref="J30:K30" si="11">SUM(J31:J34)</f>
        <v>19.829327099999997</v>
      </c>
      <c r="K30" s="310">
        <f t="shared" si="11"/>
        <v>0</v>
      </c>
      <c r="L30" s="310">
        <f t="shared" si="9"/>
        <v>0</v>
      </c>
      <c r="M30" s="310">
        <f t="shared" si="9"/>
        <v>0</v>
      </c>
      <c r="N30" s="310">
        <f t="shared" si="9"/>
        <v>0</v>
      </c>
      <c r="O30" s="310">
        <f t="shared" si="9"/>
        <v>0</v>
      </c>
      <c r="P30" s="310">
        <f t="shared" si="9"/>
        <v>0</v>
      </c>
      <c r="Q30" s="310">
        <f t="shared" si="9"/>
        <v>0</v>
      </c>
      <c r="R30" s="310">
        <f t="shared" si="9"/>
        <v>0</v>
      </c>
      <c r="S30" s="310">
        <f t="shared" si="9"/>
        <v>0</v>
      </c>
      <c r="T30" s="310">
        <f t="shared" si="9"/>
        <v>0</v>
      </c>
      <c r="U30" s="310">
        <f t="shared" si="9"/>
        <v>0</v>
      </c>
      <c r="V30" s="310">
        <f t="shared" si="9"/>
        <v>0</v>
      </c>
      <c r="W30" s="310">
        <f t="shared" si="9"/>
        <v>0</v>
      </c>
      <c r="X30" s="310">
        <f t="shared" si="9"/>
        <v>0</v>
      </c>
      <c r="Y30" s="310">
        <f t="shared" si="9"/>
        <v>0</v>
      </c>
      <c r="Z30" s="310">
        <f t="shared" si="9"/>
        <v>0</v>
      </c>
      <c r="AA30" s="310">
        <f t="shared" si="9"/>
        <v>0</v>
      </c>
      <c r="AB30" s="310">
        <f t="shared" si="5"/>
        <v>17.326238700000001</v>
      </c>
      <c r="AC30" s="311">
        <f t="shared" si="6"/>
        <v>19.829327099999997</v>
      </c>
    </row>
    <row r="31" spans="1:32" x14ac:dyDescent="0.25">
      <c r="A31" s="308" t="s">
        <v>164</v>
      </c>
      <c r="B31" s="313" t="s">
        <v>163</v>
      </c>
      <c r="C31" s="310">
        <v>6.8099999999999994E-2</v>
      </c>
      <c r="D31" s="310">
        <v>0</v>
      </c>
      <c r="E31" s="310">
        <f t="shared" ref="E31:E64" si="12">C31</f>
        <v>6.8099999999999994E-2</v>
      </c>
      <c r="F31" s="310">
        <f t="shared" si="7"/>
        <v>-5.5735600000000052E-3</v>
      </c>
      <c r="G31" s="314">
        <v>0</v>
      </c>
      <c r="H31" s="314">
        <v>6.8099999999999994E-2</v>
      </c>
      <c r="I31" s="314">
        <v>0</v>
      </c>
      <c r="J31" s="314">
        <v>7.3673559999999999E-2</v>
      </c>
      <c r="K31" s="314">
        <v>0</v>
      </c>
      <c r="L31" s="314">
        <v>0</v>
      </c>
      <c r="M31" s="314">
        <v>0</v>
      </c>
      <c r="N31" s="314">
        <v>0</v>
      </c>
      <c r="O31" s="314">
        <v>0</v>
      </c>
      <c r="P31" s="314">
        <v>0</v>
      </c>
      <c r="Q31" s="314">
        <v>0</v>
      </c>
      <c r="R31" s="314">
        <v>0</v>
      </c>
      <c r="S31" s="314">
        <v>0</v>
      </c>
      <c r="T31" s="314">
        <v>0</v>
      </c>
      <c r="U31" s="314">
        <v>0</v>
      </c>
      <c r="V31" s="314">
        <v>0</v>
      </c>
      <c r="W31" s="314">
        <v>0</v>
      </c>
      <c r="X31" s="314">
        <v>0</v>
      </c>
      <c r="Y31" s="314">
        <v>0</v>
      </c>
      <c r="Z31" s="314">
        <v>0</v>
      </c>
      <c r="AA31" s="314">
        <v>0</v>
      </c>
      <c r="AB31" s="310">
        <f t="shared" si="5"/>
        <v>6.8099999999999994E-2</v>
      </c>
      <c r="AC31" s="311">
        <f t="shared" si="6"/>
        <v>7.3673559999999999E-2</v>
      </c>
    </row>
    <row r="32" spans="1:32" ht="31.5" x14ac:dyDescent="0.25">
      <c r="A32" s="308" t="s">
        <v>162</v>
      </c>
      <c r="B32" s="313" t="s">
        <v>161</v>
      </c>
      <c r="C32" s="310">
        <v>10.97429344</v>
      </c>
      <c r="D32" s="310">
        <v>0</v>
      </c>
      <c r="E32" s="310">
        <f t="shared" si="12"/>
        <v>10.97429344</v>
      </c>
      <c r="F32" s="310">
        <f t="shared" si="7"/>
        <v>0.28051843000000076</v>
      </c>
      <c r="G32" s="314">
        <v>0</v>
      </c>
      <c r="H32" s="314">
        <v>10.97429344</v>
      </c>
      <c r="I32" s="314">
        <v>0</v>
      </c>
      <c r="J32" s="314">
        <v>10.69377501</v>
      </c>
      <c r="K32" s="314">
        <v>0</v>
      </c>
      <c r="L32" s="314">
        <v>0</v>
      </c>
      <c r="M32" s="314">
        <v>0</v>
      </c>
      <c r="N32" s="314">
        <v>0</v>
      </c>
      <c r="O32" s="314">
        <v>0</v>
      </c>
      <c r="P32" s="314">
        <v>0</v>
      </c>
      <c r="Q32" s="314">
        <v>0</v>
      </c>
      <c r="R32" s="314">
        <v>0</v>
      </c>
      <c r="S32" s="314">
        <v>0</v>
      </c>
      <c r="T32" s="314">
        <v>0</v>
      </c>
      <c r="U32" s="314">
        <v>0</v>
      </c>
      <c r="V32" s="314">
        <v>0</v>
      </c>
      <c r="W32" s="314">
        <v>0</v>
      </c>
      <c r="X32" s="314">
        <v>0</v>
      </c>
      <c r="Y32" s="314">
        <v>0</v>
      </c>
      <c r="Z32" s="314">
        <v>0</v>
      </c>
      <c r="AA32" s="314">
        <v>0</v>
      </c>
      <c r="AB32" s="310">
        <f t="shared" si="5"/>
        <v>10.97429344</v>
      </c>
      <c r="AC32" s="311">
        <f t="shared" si="6"/>
        <v>10.69377501</v>
      </c>
    </row>
    <row r="33" spans="1:29" x14ac:dyDescent="0.25">
      <c r="A33" s="308" t="s">
        <v>160</v>
      </c>
      <c r="B33" s="313" t="s">
        <v>159</v>
      </c>
      <c r="C33" s="310">
        <v>5.9170963600000004</v>
      </c>
      <c r="D33" s="310">
        <v>0</v>
      </c>
      <c r="E33" s="310">
        <f t="shared" si="12"/>
        <v>5.9170963600000004</v>
      </c>
      <c r="F33" s="310">
        <f t="shared" si="7"/>
        <v>-1.7959405299999993</v>
      </c>
      <c r="G33" s="314">
        <v>0</v>
      </c>
      <c r="H33" s="314">
        <v>5.9170963600000004</v>
      </c>
      <c r="I33" s="314">
        <v>0</v>
      </c>
      <c r="J33" s="314">
        <v>7.7130368899999997</v>
      </c>
      <c r="K33" s="314">
        <v>0</v>
      </c>
      <c r="L33" s="314">
        <v>0</v>
      </c>
      <c r="M33" s="314">
        <v>0</v>
      </c>
      <c r="N33" s="314">
        <v>0</v>
      </c>
      <c r="O33" s="314">
        <v>0</v>
      </c>
      <c r="P33" s="314">
        <v>0</v>
      </c>
      <c r="Q33" s="314">
        <v>0</v>
      </c>
      <c r="R33" s="314">
        <v>0</v>
      </c>
      <c r="S33" s="314">
        <v>0</v>
      </c>
      <c r="T33" s="314">
        <v>0</v>
      </c>
      <c r="U33" s="314">
        <v>0</v>
      </c>
      <c r="V33" s="314">
        <v>0</v>
      </c>
      <c r="W33" s="314">
        <v>0</v>
      </c>
      <c r="X33" s="314">
        <v>0</v>
      </c>
      <c r="Y33" s="314">
        <v>0</v>
      </c>
      <c r="Z33" s="314">
        <v>0</v>
      </c>
      <c r="AA33" s="314">
        <v>0</v>
      </c>
      <c r="AB33" s="310">
        <f t="shared" si="5"/>
        <v>5.9170963600000004</v>
      </c>
      <c r="AC33" s="311">
        <f t="shared" si="6"/>
        <v>7.7130368899999997</v>
      </c>
    </row>
    <row r="34" spans="1:29" x14ac:dyDescent="0.25">
      <c r="A34" s="308" t="s">
        <v>158</v>
      </c>
      <c r="B34" s="313" t="s">
        <v>157</v>
      </c>
      <c r="C34" s="310">
        <v>0.36674889999999999</v>
      </c>
      <c r="D34" s="310">
        <v>0</v>
      </c>
      <c r="E34" s="310">
        <f t="shared" si="12"/>
        <v>0.36674889999999999</v>
      </c>
      <c r="F34" s="310">
        <f t="shared" si="7"/>
        <v>-0.98209273999999991</v>
      </c>
      <c r="G34" s="314">
        <v>0</v>
      </c>
      <c r="H34" s="314">
        <v>0.36674889999999999</v>
      </c>
      <c r="I34" s="314">
        <v>0</v>
      </c>
      <c r="J34" s="314">
        <v>1.3488416399999998</v>
      </c>
      <c r="K34" s="314">
        <v>0</v>
      </c>
      <c r="L34" s="314">
        <v>0</v>
      </c>
      <c r="M34" s="314">
        <v>0</v>
      </c>
      <c r="N34" s="314">
        <v>0</v>
      </c>
      <c r="O34" s="314">
        <v>0</v>
      </c>
      <c r="P34" s="314">
        <v>0</v>
      </c>
      <c r="Q34" s="314">
        <v>0</v>
      </c>
      <c r="R34" s="314">
        <v>0</v>
      </c>
      <c r="S34" s="314">
        <v>0</v>
      </c>
      <c r="T34" s="314">
        <v>0</v>
      </c>
      <c r="U34" s="314">
        <v>0</v>
      </c>
      <c r="V34" s="314">
        <v>0</v>
      </c>
      <c r="W34" s="314">
        <v>0</v>
      </c>
      <c r="X34" s="314">
        <v>0</v>
      </c>
      <c r="Y34" s="314">
        <v>0</v>
      </c>
      <c r="Z34" s="314">
        <v>0</v>
      </c>
      <c r="AA34" s="314">
        <v>0</v>
      </c>
      <c r="AB34" s="310">
        <f t="shared" si="5"/>
        <v>0.36674889999999999</v>
      </c>
      <c r="AC34" s="311">
        <f t="shared" si="6"/>
        <v>1.3488416399999998</v>
      </c>
    </row>
    <row r="35" spans="1:29" ht="31.5" x14ac:dyDescent="0.25">
      <c r="A35" s="308" t="s">
        <v>59</v>
      </c>
      <c r="B35" s="309" t="s">
        <v>156</v>
      </c>
      <c r="C35" s="310">
        <v>0</v>
      </c>
      <c r="D35" s="310">
        <v>0</v>
      </c>
      <c r="E35" s="310">
        <f t="shared" si="12"/>
        <v>0</v>
      </c>
      <c r="F35" s="310">
        <f t="shared" si="7"/>
        <v>0</v>
      </c>
      <c r="G35" s="310">
        <v>0</v>
      </c>
      <c r="H35" s="310">
        <v>0</v>
      </c>
      <c r="I35" s="310">
        <v>0</v>
      </c>
      <c r="J35" s="310">
        <v>0</v>
      </c>
      <c r="K35" s="310">
        <v>0</v>
      </c>
      <c r="L35" s="310">
        <v>0</v>
      </c>
      <c r="M35" s="310">
        <v>0</v>
      </c>
      <c r="N35" s="310">
        <v>0</v>
      </c>
      <c r="O35" s="310">
        <v>0</v>
      </c>
      <c r="P35" s="310">
        <v>0</v>
      </c>
      <c r="Q35" s="310">
        <v>0</v>
      </c>
      <c r="R35" s="310">
        <v>0</v>
      </c>
      <c r="S35" s="310">
        <v>0</v>
      </c>
      <c r="T35" s="310">
        <v>0</v>
      </c>
      <c r="U35" s="310">
        <v>0</v>
      </c>
      <c r="V35" s="310">
        <v>0</v>
      </c>
      <c r="W35" s="310">
        <v>0</v>
      </c>
      <c r="X35" s="310">
        <v>0</v>
      </c>
      <c r="Y35" s="310">
        <v>0</v>
      </c>
      <c r="Z35" s="310">
        <v>0</v>
      </c>
      <c r="AA35" s="310">
        <v>0</v>
      </c>
      <c r="AB35" s="310">
        <f t="shared" si="5"/>
        <v>0</v>
      </c>
      <c r="AC35" s="311">
        <f t="shared" si="6"/>
        <v>0</v>
      </c>
    </row>
    <row r="36" spans="1:29" ht="31.5" x14ac:dyDescent="0.25">
      <c r="A36" s="312" t="s">
        <v>155</v>
      </c>
      <c r="B36" s="315" t="s">
        <v>154</v>
      </c>
      <c r="C36" s="310">
        <v>0</v>
      </c>
      <c r="D36" s="310">
        <v>0</v>
      </c>
      <c r="E36" s="310">
        <f t="shared" si="12"/>
        <v>0</v>
      </c>
      <c r="F36" s="310">
        <f t="shared" si="7"/>
        <v>0</v>
      </c>
      <c r="G36" s="314">
        <v>0</v>
      </c>
      <c r="H36" s="314">
        <v>0</v>
      </c>
      <c r="I36" s="314">
        <v>0</v>
      </c>
      <c r="J36" s="314">
        <v>0</v>
      </c>
      <c r="K36" s="314">
        <v>0</v>
      </c>
      <c r="L36" s="314">
        <v>0</v>
      </c>
      <c r="M36" s="314">
        <v>0</v>
      </c>
      <c r="N36" s="314">
        <v>0</v>
      </c>
      <c r="O36" s="314">
        <v>0</v>
      </c>
      <c r="P36" s="314">
        <v>0</v>
      </c>
      <c r="Q36" s="314">
        <v>0</v>
      </c>
      <c r="R36" s="314">
        <v>0</v>
      </c>
      <c r="S36" s="314">
        <v>0</v>
      </c>
      <c r="T36" s="314">
        <v>0</v>
      </c>
      <c r="U36" s="314">
        <v>0</v>
      </c>
      <c r="V36" s="314">
        <v>0</v>
      </c>
      <c r="W36" s="314">
        <v>0</v>
      </c>
      <c r="X36" s="314">
        <v>0</v>
      </c>
      <c r="Y36" s="314">
        <v>0</v>
      </c>
      <c r="Z36" s="314">
        <v>0</v>
      </c>
      <c r="AA36" s="314">
        <v>0</v>
      </c>
      <c r="AB36" s="310">
        <f t="shared" si="5"/>
        <v>0</v>
      </c>
      <c r="AC36" s="311">
        <f t="shared" si="6"/>
        <v>0</v>
      </c>
    </row>
    <row r="37" spans="1:29" x14ac:dyDescent="0.25">
      <c r="A37" s="312" t="s">
        <v>153</v>
      </c>
      <c r="B37" s="315" t="s">
        <v>143</v>
      </c>
      <c r="C37" s="310">
        <v>0</v>
      </c>
      <c r="D37" s="310">
        <v>0</v>
      </c>
      <c r="E37" s="310">
        <f t="shared" si="12"/>
        <v>0</v>
      </c>
      <c r="F37" s="310">
        <f t="shared" si="7"/>
        <v>0</v>
      </c>
      <c r="G37" s="314">
        <v>0</v>
      </c>
      <c r="H37" s="314">
        <v>0</v>
      </c>
      <c r="I37" s="314">
        <v>0</v>
      </c>
      <c r="J37" s="314">
        <v>0</v>
      </c>
      <c r="K37" s="314">
        <v>0</v>
      </c>
      <c r="L37" s="314">
        <v>0</v>
      </c>
      <c r="M37" s="314">
        <v>0</v>
      </c>
      <c r="N37" s="314">
        <v>0</v>
      </c>
      <c r="O37" s="314">
        <v>0</v>
      </c>
      <c r="P37" s="314">
        <v>0</v>
      </c>
      <c r="Q37" s="314">
        <v>0</v>
      </c>
      <c r="R37" s="314">
        <v>0</v>
      </c>
      <c r="S37" s="314">
        <v>0</v>
      </c>
      <c r="T37" s="314">
        <v>0</v>
      </c>
      <c r="U37" s="314">
        <v>0</v>
      </c>
      <c r="V37" s="314">
        <v>0</v>
      </c>
      <c r="W37" s="314">
        <v>0</v>
      </c>
      <c r="X37" s="314">
        <v>0</v>
      </c>
      <c r="Y37" s="314">
        <v>0</v>
      </c>
      <c r="Z37" s="314">
        <v>0</v>
      </c>
      <c r="AA37" s="314">
        <v>0</v>
      </c>
      <c r="AB37" s="310">
        <f t="shared" si="5"/>
        <v>0</v>
      </c>
      <c r="AC37" s="311">
        <f t="shared" si="6"/>
        <v>0</v>
      </c>
    </row>
    <row r="38" spans="1:29" x14ac:dyDescent="0.25">
      <c r="A38" s="312" t="s">
        <v>152</v>
      </c>
      <c r="B38" s="315" t="s">
        <v>141</v>
      </c>
      <c r="C38" s="310">
        <v>0</v>
      </c>
      <c r="D38" s="310">
        <v>0</v>
      </c>
      <c r="E38" s="310">
        <f t="shared" si="12"/>
        <v>0</v>
      </c>
      <c r="F38" s="310">
        <f t="shared" si="7"/>
        <v>0</v>
      </c>
      <c r="G38" s="314">
        <v>0</v>
      </c>
      <c r="H38" s="314">
        <v>0</v>
      </c>
      <c r="I38" s="314">
        <v>0</v>
      </c>
      <c r="J38" s="314">
        <v>0</v>
      </c>
      <c r="K38" s="314">
        <v>0</v>
      </c>
      <c r="L38" s="314">
        <v>0</v>
      </c>
      <c r="M38" s="314">
        <v>0</v>
      </c>
      <c r="N38" s="314">
        <v>0</v>
      </c>
      <c r="O38" s="314">
        <v>0</v>
      </c>
      <c r="P38" s="314">
        <v>0</v>
      </c>
      <c r="Q38" s="314">
        <v>0</v>
      </c>
      <c r="R38" s="314">
        <v>0</v>
      </c>
      <c r="S38" s="314">
        <v>0</v>
      </c>
      <c r="T38" s="314">
        <v>0</v>
      </c>
      <c r="U38" s="314">
        <v>0</v>
      </c>
      <c r="V38" s="314">
        <v>0</v>
      </c>
      <c r="W38" s="314">
        <v>0</v>
      </c>
      <c r="X38" s="314">
        <v>0</v>
      </c>
      <c r="Y38" s="314">
        <v>0</v>
      </c>
      <c r="Z38" s="314">
        <v>0</v>
      </c>
      <c r="AA38" s="314">
        <v>0</v>
      </c>
      <c r="AB38" s="310">
        <f t="shared" si="5"/>
        <v>0</v>
      </c>
      <c r="AC38" s="311">
        <f t="shared" si="6"/>
        <v>0</v>
      </c>
    </row>
    <row r="39" spans="1:29" ht="31.5" x14ac:dyDescent="0.25">
      <c r="A39" s="312" t="s">
        <v>151</v>
      </c>
      <c r="B39" s="313" t="s">
        <v>139</v>
      </c>
      <c r="C39" s="310">
        <v>0</v>
      </c>
      <c r="D39" s="310">
        <v>0</v>
      </c>
      <c r="E39" s="310">
        <f t="shared" si="12"/>
        <v>0</v>
      </c>
      <c r="F39" s="310">
        <f t="shared" si="7"/>
        <v>0</v>
      </c>
      <c r="G39" s="314">
        <v>0</v>
      </c>
      <c r="H39" s="314">
        <v>0</v>
      </c>
      <c r="I39" s="314">
        <v>0</v>
      </c>
      <c r="J39" s="314">
        <v>0</v>
      </c>
      <c r="K39" s="314">
        <v>0</v>
      </c>
      <c r="L39" s="314">
        <v>0</v>
      </c>
      <c r="M39" s="314">
        <v>0</v>
      </c>
      <c r="N39" s="314">
        <v>0</v>
      </c>
      <c r="O39" s="314">
        <v>0</v>
      </c>
      <c r="P39" s="314">
        <v>0</v>
      </c>
      <c r="Q39" s="314">
        <v>0</v>
      </c>
      <c r="R39" s="314">
        <v>0</v>
      </c>
      <c r="S39" s="314">
        <v>0</v>
      </c>
      <c r="T39" s="314">
        <v>0</v>
      </c>
      <c r="U39" s="314">
        <v>0</v>
      </c>
      <c r="V39" s="314">
        <v>0</v>
      </c>
      <c r="W39" s="314">
        <v>0</v>
      </c>
      <c r="X39" s="314">
        <v>0</v>
      </c>
      <c r="Y39" s="314">
        <v>0</v>
      </c>
      <c r="Z39" s="314">
        <v>0</v>
      </c>
      <c r="AA39" s="314">
        <v>0</v>
      </c>
      <c r="AB39" s="310">
        <f t="shared" si="5"/>
        <v>0</v>
      </c>
      <c r="AC39" s="311">
        <f t="shared" si="6"/>
        <v>0</v>
      </c>
    </row>
    <row r="40" spans="1:29" ht="31.5" x14ac:dyDescent="0.25">
      <c r="A40" s="312" t="s">
        <v>150</v>
      </c>
      <c r="B40" s="313" t="s">
        <v>137</v>
      </c>
      <c r="C40" s="310">
        <v>0</v>
      </c>
      <c r="D40" s="310">
        <v>0</v>
      </c>
      <c r="E40" s="310">
        <f t="shared" si="12"/>
        <v>0</v>
      </c>
      <c r="F40" s="310">
        <f t="shared" si="7"/>
        <v>0</v>
      </c>
      <c r="G40" s="314">
        <v>0</v>
      </c>
      <c r="H40" s="314">
        <v>0</v>
      </c>
      <c r="I40" s="314">
        <v>0</v>
      </c>
      <c r="J40" s="314">
        <v>0</v>
      </c>
      <c r="K40" s="314">
        <v>0</v>
      </c>
      <c r="L40" s="314">
        <v>0</v>
      </c>
      <c r="M40" s="314">
        <v>0</v>
      </c>
      <c r="N40" s="314">
        <v>0</v>
      </c>
      <c r="O40" s="314">
        <v>0</v>
      </c>
      <c r="P40" s="314">
        <v>0</v>
      </c>
      <c r="Q40" s="314">
        <v>0</v>
      </c>
      <c r="R40" s="314">
        <v>0</v>
      </c>
      <c r="S40" s="314">
        <v>0</v>
      </c>
      <c r="T40" s="314">
        <v>0</v>
      </c>
      <c r="U40" s="314">
        <v>0</v>
      </c>
      <c r="V40" s="314">
        <v>0</v>
      </c>
      <c r="W40" s="314">
        <v>0</v>
      </c>
      <c r="X40" s="314">
        <v>0</v>
      </c>
      <c r="Y40" s="314">
        <v>0</v>
      </c>
      <c r="Z40" s="314">
        <v>0</v>
      </c>
      <c r="AA40" s="314">
        <v>0</v>
      </c>
      <c r="AB40" s="310">
        <f t="shared" si="5"/>
        <v>0</v>
      </c>
      <c r="AC40" s="311">
        <f t="shared" si="6"/>
        <v>0</v>
      </c>
    </row>
    <row r="41" spans="1:29" x14ac:dyDescent="0.25">
      <c r="A41" s="312" t="s">
        <v>149</v>
      </c>
      <c r="B41" s="313" t="s">
        <v>135</v>
      </c>
      <c r="C41" s="310">
        <v>1.9990000000000001</v>
      </c>
      <c r="D41" s="310">
        <v>0</v>
      </c>
      <c r="E41" s="310">
        <f t="shared" si="12"/>
        <v>1.9990000000000001</v>
      </c>
      <c r="F41" s="310">
        <f t="shared" si="7"/>
        <v>0.47100000000000009</v>
      </c>
      <c r="G41" s="314">
        <v>0</v>
      </c>
      <c r="H41" s="314">
        <v>1.9990000000000001</v>
      </c>
      <c r="I41" s="314">
        <v>0</v>
      </c>
      <c r="J41" s="314">
        <v>1.528</v>
      </c>
      <c r="K41" s="314">
        <v>0</v>
      </c>
      <c r="L41" s="314">
        <v>0</v>
      </c>
      <c r="M41" s="314">
        <v>0</v>
      </c>
      <c r="N41" s="314">
        <v>0</v>
      </c>
      <c r="O41" s="314">
        <v>0</v>
      </c>
      <c r="P41" s="314">
        <v>0</v>
      </c>
      <c r="Q41" s="314">
        <v>0</v>
      </c>
      <c r="R41" s="314">
        <v>0</v>
      </c>
      <c r="S41" s="314">
        <v>0</v>
      </c>
      <c r="T41" s="314">
        <v>0</v>
      </c>
      <c r="U41" s="314">
        <v>0</v>
      </c>
      <c r="V41" s="314">
        <v>0</v>
      </c>
      <c r="W41" s="314">
        <v>0</v>
      </c>
      <c r="X41" s="314">
        <v>0</v>
      </c>
      <c r="Y41" s="314">
        <v>0</v>
      </c>
      <c r="Z41" s="314">
        <v>0</v>
      </c>
      <c r="AA41" s="314">
        <v>0</v>
      </c>
      <c r="AB41" s="310">
        <f t="shared" si="5"/>
        <v>1.9990000000000001</v>
      </c>
      <c r="AC41" s="311">
        <f t="shared" si="6"/>
        <v>1.528</v>
      </c>
    </row>
    <row r="42" spans="1:29" ht="18.75" x14ac:dyDescent="0.25">
      <c r="A42" s="312" t="s">
        <v>148</v>
      </c>
      <c r="B42" s="315" t="s">
        <v>553</v>
      </c>
      <c r="C42" s="310">
        <v>0</v>
      </c>
      <c r="D42" s="310">
        <v>0</v>
      </c>
      <c r="E42" s="310">
        <f t="shared" si="12"/>
        <v>0</v>
      </c>
      <c r="F42" s="310">
        <f t="shared" si="7"/>
        <v>0</v>
      </c>
      <c r="G42" s="314">
        <v>0</v>
      </c>
      <c r="H42" s="314">
        <v>0</v>
      </c>
      <c r="I42" s="314">
        <v>0</v>
      </c>
      <c r="J42" s="314">
        <v>0</v>
      </c>
      <c r="K42" s="314">
        <v>0</v>
      </c>
      <c r="L42" s="314">
        <v>0</v>
      </c>
      <c r="M42" s="314">
        <v>0</v>
      </c>
      <c r="N42" s="314">
        <v>0</v>
      </c>
      <c r="O42" s="314">
        <v>0</v>
      </c>
      <c r="P42" s="314">
        <v>0</v>
      </c>
      <c r="Q42" s="314">
        <v>0</v>
      </c>
      <c r="R42" s="314">
        <v>0</v>
      </c>
      <c r="S42" s="314">
        <v>0</v>
      </c>
      <c r="T42" s="314">
        <v>0</v>
      </c>
      <c r="U42" s="314">
        <v>0</v>
      </c>
      <c r="V42" s="314">
        <v>0</v>
      </c>
      <c r="W42" s="314">
        <v>0</v>
      </c>
      <c r="X42" s="314">
        <v>0</v>
      </c>
      <c r="Y42" s="314">
        <v>0</v>
      </c>
      <c r="Z42" s="314">
        <v>0</v>
      </c>
      <c r="AA42" s="314">
        <v>0</v>
      </c>
      <c r="AB42" s="310">
        <f t="shared" si="5"/>
        <v>0</v>
      </c>
      <c r="AC42" s="311">
        <f t="shared" si="6"/>
        <v>0</v>
      </c>
    </row>
    <row r="43" spans="1:29" x14ac:dyDescent="0.25">
      <c r="A43" s="308" t="s">
        <v>58</v>
      </c>
      <c r="B43" s="309" t="s">
        <v>147</v>
      </c>
      <c r="C43" s="310">
        <v>0</v>
      </c>
      <c r="D43" s="310">
        <v>0</v>
      </c>
      <c r="E43" s="310">
        <f t="shared" si="12"/>
        <v>0</v>
      </c>
      <c r="F43" s="310">
        <f t="shared" si="7"/>
        <v>0</v>
      </c>
      <c r="G43" s="310">
        <v>0</v>
      </c>
      <c r="H43" s="310">
        <v>0</v>
      </c>
      <c r="I43" s="310">
        <v>0</v>
      </c>
      <c r="J43" s="310">
        <v>0</v>
      </c>
      <c r="K43" s="310">
        <v>0</v>
      </c>
      <c r="L43" s="310">
        <v>0</v>
      </c>
      <c r="M43" s="310">
        <v>0</v>
      </c>
      <c r="N43" s="310">
        <v>0</v>
      </c>
      <c r="O43" s="310">
        <v>0</v>
      </c>
      <c r="P43" s="310">
        <v>0</v>
      </c>
      <c r="Q43" s="310">
        <v>0</v>
      </c>
      <c r="R43" s="310">
        <v>0</v>
      </c>
      <c r="S43" s="310">
        <v>0</v>
      </c>
      <c r="T43" s="310">
        <v>0</v>
      </c>
      <c r="U43" s="310">
        <v>0</v>
      </c>
      <c r="V43" s="310">
        <v>0</v>
      </c>
      <c r="W43" s="310">
        <v>0</v>
      </c>
      <c r="X43" s="310">
        <v>0</v>
      </c>
      <c r="Y43" s="310">
        <v>0</v>
      </c>
      <c r="Z43" s="310">
        <v>0</v>
      </c>
      <c r="AA43" s="310">
        <v>0</v>
      </c>
      <c r="AB43" s="310">
        <f t="shared" si="5"/>
        <v>0</v>
      </c>
      <c r="AC43" s="311">
        <f t="shared" si="6"/>
        <v>0</v>
      </c>
    </row>
    <row r="44" spans="1:29" x14ac:dyDescent="0.25">
      <c r="A44" s="312" t="s">
        <v>146</v>
      </c>
      <c r="B44" s="313" t="s">
        <v>145</v>
      </c>
      <c r="C44" s="310">
        <f t="shared" ref="C44" si="13">C36</f>
        <v>0</v>
      </c>
      <c r="D44" s="310">
        <v>0</v>
      </c>
      <c r="E44" s="310">
        <f t="shared" si="12"/>
        <v>0</v>
      </c>
      <c r="F44" s="310">
        <f t="shared" si="7"/>
        <v>0</v>
      </c>
      <c r="G44" s="314">
        <v>0</v>
      </c>
      <c r="H44" s="314">
        <f t="shared" ref="H44" si="14">H36</f>
        <v>0</v>
      </c>
      <c r="I44" s="314">
        <v>0</v>
      </c>
      <c r="J44" s="314">
        <v>0</v>
      </c>
      <c r="K44" s="314">
        <v>0</v>
      </c>
      <c r="L44" s="314">
        <v>0</v>
      </c>
      <c r="M44" s="314">
        <v>0</v>
      </c>
      <c r="N44" s="314">
        <v>0</v>
      </c>
      <c r="O44" s="314">
        <v>0</v>
      </c>
      <c r="P44" s="314">
        <v>0</v>
      </c>
      <c r="Q44" s="314">
        <v>0</v>
      </c>
      <c r="R44" s="314">
        <v>0</v>
      </c>
      <c r="S44" s="314">
        <v>0</v>
      </c>
      <c r="T44" s="314">
        <v>0</v>
      </c>
      <c r="U44" s="314">
        <v>0</v>
      </c>
      <c r="V44" s="314">
        <v>0</v>
      </c>
      <c r="W44" s="314">
        <v>0</v>
      </c>
      <c r="X44" s="314">
        <v>0</v>
      </c>
      <c r="Y44" s="314">
        <v>0</v>
      </c>
      <c r="Z44" s="314">
        <v>0</v>
      </c>
      <c r="AA44" s="314">
        <v>0</v>
      </c>
      <c r="AB44" s="310">
        <f t="shared" si="5"/>
        <v>0</v>
      </c>
      <c r="AC44" s="311">
        <f t="shared" si="6"/>
        <v>0</v>
      </c>
    </row>
    <row r="45" spans="1:29" x14ac:dyDescent="0.25">
      <c r="A45" s="312" t="s">
        <v>144</v>
      </c>
      <c r="B45" s="313" t="s">
        <v>143</v>
      </c>
      <c r="C45" s="310">
        <f t="shared" ref="C45" si="15">C37</f>
        <v>0</v>
      </c>
      <c r="D45" s="310">
        <v>0</v>
      </c>
      <c r="E45" s="310">
        <f t="shared" si="12"/>
        <v>0</v>
      </c>
      <c r="F45" s="310">
        <f t="shared" si="7"/>
        <v>0</v>
      </c>
      <c r="G45" s="314">
        <v>0</v>
      </c>
      <c r="H45" s="314">
        <f t="shared" ref="H45" si="16">H37</f>
        <v>0</v>
      </c>
      <c r="I45" s="314">
        <v>0</v>
      </c>
      <c r="J45" s="314">
        <v>0</v>
      </c>
      <c r="K45" s="314">
        <v>0</v>
      </c>
      <c r="L45" s="314">
        <v>0</v>
      </c>
      <c r="M45" s="314">
        <v>0</v>
      </c>
      <c r="N45" s="314">
        <v>0</v>
      </c>
      <c r="O45" s="314">
        <v>0</v>
      </c>
      <c r="P45" s="314">
        <v>0</v>
      </c>
      <c r="Q45" s="314">
        <v>0</v>
      </c>
      <c r="R45" s="314">
        <v>0</v>
      </c>
      <c r="S45" s="314">
        <v>0</v>
      </c>
      <c r="T45" s="314">
        <v>0</v>
      </c>
      <c r="U45" s="314">
        <v>0</v>
      </c>
      <c r="V45" s="314">
        <v>0</v>
      </c>
      <c r="W45" s="314">
        <v>0</v>
      </c>
      <c r="X45" s="314">
        <v>0</v>
      </c>
      <c r="Y45" s="314">
        <v>0</v>
      </c>
      <c r="Z45" s="314">
        <v>0</v>
      </c>
      <c r="AA45" s="314">
        <v>0</v>
      </c>
      <c r="AB45" s="310">
        <f t="shared" si="5"/>
        <v>0</v>
      </c>
      <c r="AC45" s="311">
        <f t="shared" si="6"/>
        <v>0</v>
      </c>
    </row>
    <row r="46" spans="1:29" x14ac:dyDescent="0.25">
      <c r="A46" s="312" t="s">
        <v>142</v>
      </c>
      <c r="B46" s="313" t="s">
        <v>141</v>
      </c>
      <c r="C46" s="310">
        <f t="shared" ref="C46" si="17">C38</f>
        <v>0</v>
      </c>
      <c r="D46" s="310">
        <v>0</v>
      </c>
      <c r="E46" s="310">
        <f t="shared" si="12"/>
        <v>0</v>
      </c>
      <c r="F46" s="310">
        <f t="shared" si="7"/>
        <v>0</v>
      </c>
      <c r="G46" s="314">
        <v>0</v>
      </c>
      <c r="H46" s="314">
        <f t="shared" ref="H46" si="18">H38</f>
        <v>0</v>
      </c>
      <c r="I46" s="314">
        <v>0</v>
      </c>
      <c r="J46" s="314">
        <v>0</v>
      </c>
      <c r="K46" s="314">
        <v>0</v>
      </c>
      <c r="L46" s="314">
        <v>0</v>
      </c>
      <c r="M46" s="314">
        <v>0</v>
      </c>
      <c r="N46" s="314">
        <v>0</v>
      </c>
      <c r="O46" s="314">
        <v>0</v>
      </c>
      <c r="P46" s="314">
        <v>0</v>
      </c>
      <c r="Q46" s="314">
        <v>0</v>
      </c>
      <c r="R46" s="314">
        <v>0</v>
      </c>
      <c r="S46" s="314">
        <v>0</v>
      </c>
      <c r="T46" s="314">
        <v>0</v>
      </c>
      <c r="U46" s="314">
        <v>0</v>
      </c>
      <c r="V46" s="314">
        <v>0</v>
      </c>
      <c r="W46" s="314">
        <v>0</v>
      </c>
      <c r="X46" s="314">
        <v>0</v>
      </c>
      <c r="Y46" s="314">
        <v>0</v>
      </c>
      <c r="Z46" s="314">
        <v>0</v>
      </c>
      <c r="AA46" s="314">
        <v>0</v>
      </c>
      <c r="AB46" s="310">
        <f t="shared" si="5"/>
        <v>0</v>
      </c>
      <c r="AC46" s="311">
        <f t="shared" si="6"/>
        <v>0</v>
      </c>
    </row>
    <row r="47" spans="1:29" ht="31.5" x14ac:dyDescent="0.25">
      <c r="A47" s="312" t="s">
        <v>140</v>
      </c>
      <c r="B47" s="313" t="s">
        <v>139</v>
      </c>
      <c r="C47" s="310">
        <f t="shared" ref="C47" si="19">C39</f>
        <v>0</v>
      </c>
      <c r="D47" s="310">
        <v>0</v>
      </c>
      <c r="E47" s="310">
        <f t="shared" si="12"/>
        <v>0</v>
      </c>
      <c r="F47" s="310">
        <f t="shared" si="7"/>
        <v>0</v>
      </c>
      <c r="G47" s="314">
        <v>0</v>
      </c>
      <c r="H47" s="314">
        <f t="shared" ref="H47" si="20">H39</f>
        <v>0</v>
      </c>
      <c r="I47" s="314">
        <v>0</v>
      </c>
      <c r="J47" s="314">
        <v>0</v>
      </c>
      <c r="K47" s="314">
        <v>0</v>
      </c>
      <c r="L47" s="314">
        <v>0</v>
      </c>
      <c r="M47" s="314">
        <v>0</v>
      </c>
      <c r="N47" s="314">
        <v>0</v>
      </c>
      <c r="O47" s="314">
        <v>0</v>
      </c>
      <c r="P47" s="314">
        <v>0</v>
      </c>
      <c r="Q47" s="314">
        <v>0</v>
      </c>
      <c r="R47" s="314">
        <v>0</v>
      </c>
      <c r="S47" s="314">
        <v>0</v>
      </c>
      <c r="T47" s="314">
        <v>0</v>
      </c>
      <c r="U47" s="314">
        <v>0</v>
      </c>
      <c r="V47" s="314">
        <v>0</v>
      </c>
      <c r="W47" s="314">
        <v>0</v>
      </c>
      <c r="X47" s="314">
        <v>0</v>
      </c>
      <c r="Y47" s="314">
        <v>0</v>
      </c>
      <c r="Z47" s="314">
        <v>0</v>
      </c>
      <c r="AA47" s="314">
        <v>0</v>
      </c>
      <c r="AB47" s="310">
        <f t="shared" si="5"/>
        <v>0</v>
      </c>
      <c r="AC47" s="311">
        <f t="shared" si="6"/>
        <v>0</v>
      </c>
    </row>
    <row r="48" spans="1:29" ht="31.5" x14ac:dyDescent="0.25">
      <c r="A48" s="312" t="s">
        <v>138</v>
      </c>
      <c r="B48" s="313" t="s">
        <v>137</v>
      </c>
      <c r="C48" s="310">
        <f t="shared" ref="C48" si="21">C40</f>
        <v>0</v>
      </c>
      <c r="D48" s="310">
        <v>0</v>
      </c>
      <c r="E48" s="310">
        <f t="shared" si="12"/>
        <v>0</v>
      </c>
      <c r="F48" s="310">
        <f t="shared" si="7"/>
        <v>0</v>
      </c>
      <c r="G48" s="314">
        <v>0</v>
      </c>
      <c r="H48" s="314">
        <f t="shared" ref="H48" si="22">H40</f>
        <v>0</v>
      </c>
      <c r="I48" s="314">
        <v>0</v>
      </c>
      <c r="J48" s="314">
        <v>0</v>
      </c>
      <c r="K48" s="314">
        <v>0</v>
      </c>
      <c r="L48" s="314">
        <v>0</v>
      </c>
      <c r="M48" s="314">
        <v>0</v>
      </c>
      <c r="N48" s="314">
        <v>0</v>
      </c>
      <c r="O48" s="314">
        <v>0</v>
      </c>
      <c r="P48" s="314">
        <v>0</v>
      </c>
      <c r="Q48" s="314">
        <v>0</v>
      </c>
      <c r="R48" s="314">
        <v>0</v>
      </c>
      <c r="S48" s="314">
        <v>0</v>
      </c>
      <c r="T48" s="314">
        <v>0</v>
      </c>
      <c r="U48" s="314">
        <v>0</v>
      </c>
      <c r="V48" s="314">
        <v>0</v>
      </c>
      <c r="W48" s="314">
        <v>0</v>
      </c>
      <c r="X48" s="314">
        <v>0</v>
      </c>
      <c r="Y48" s="314">
        <v>0</v>
      </c>
      <c r="Z48" s="314">
        <v>0</v>
      </c>
      <c r="AA48" s="314">
        <v>0</v>
      </c>
      <c r="AB48" s="310">
        <f t="shared" si="5"/>
        <v>0</v>
      </c>
      <c r="AC48" s="311">
        <f t="shared" si="6"/>
        <v>0</v>
      </c>
    </row>
    <row r="49" spans="1:29" x14ac:dyDescent="0.25">
      <c r="A49" s="312" t="s">
        <v>136</v>
      </c>
      <c r="B49" s="313" t="s">
        <v>135</v>
      </c>
      <c r="C49" s="310">
        <f>C41</f>
        <v>1.9990000000000001</v>
      </c>
      <c r="D49" s="310">
        <v>0</v>
      </c>
      <c r="E49" s="310">
        <f t="shared" si="12"/>
        <v>1.9990000000000001</v>
      </c>
      <c r="F49" s="310">
        <f t="shared" si="7"/>
        <v>0.47100000000000009</v>
      </c>
      <c r="G49" s="314">
        <v>0</v>
      </c>
      <c r="H49" s="314">
        <f>H41</f>
        <v>1.9990000000000001</v>
      </c>
      <c r="I49" s="314">
        <v>0</v>
      </c>
      <c r="J49" s="314">
        <f>J41</f>
        <v>1.528</v>
      </c>
      <c r="K49" s="314">
        <v>0</v>
      </c>
      <c r="L49" s="314">
        <v>0</v>
      </c>
      <c r="M49" s="314">
        <v>0</v>
      </c>
      <c r="N49" s="314">
        <v>0</v>
      </c>
      <c r="O49" s="314">
        <v>0</v>
      </c>
      <c r="P49" s="314">
        <v>0</v>
      </c>
      <c r="Q49" s="314">
        <v>0</v>
      </c>
      <c r="R49" s="314">
        <v>0</v>
      </c>
      <c r="S49" s="314">
        <v>0</v>
      </c>
      <c r="T49" s="314">
        <v>0</v>
      </c>
      <c r="U49" s="314">
        <v>0</v>
      </c>
      <c r="V49" s="314">
        <v>0</v>
      </c>
      <c r="W49" s="314">
        <v>0</v>
      </c>
      <c r="X49" s="314">
        <v>0</v>
      </c>
      <c r="Y49" s="314">
        <v>0</v>
      </c>
      <c r="Z49" s="314">
        <v>0</v>
      </c>
      <c r="AA49" s="314">
        <v>0</v>
      </c>
      <c r="AB49" s="310">
        <f t="shared" si="5"/>
        <v>1.9990000000000001</v>
      </c>
      <c r="AC49" s="311">
        <f t="shared" si="6"/>
        <v>1.528</v>
      </c>
    </row>
    <row r="50" spans="1:29" ht="18.75" x14ac:dyDescent="0.25">
      <c r="A50" s="312" t="s">
        <v>134</v>
      </c>
      <c r="B50" s="315" t="s">
        <v>553</v>
      </c>
      <c r="C50" s="310">
        <v>0</v>
      </c>
      <c r="D50" s="310">
        <v>0</v>
      </c>
      <c r="E50" s="310">
        <f t="shared" si="12"/>
        <v>0</v>
      </c>
      <c r="F50" s="310">
        <f t="shared" si="7"/>
        <v>0</v>
      </c>
      <c r="G50" s="314">
        <v>0</v>
      </c>
      <c r="H50" s="314">
        <v>0</v>
      </c>
      <c r="I50" s="314">
        <v>0</v>
      </c>
      <c r="J50" s="314">
        <v>0</v>
      </c>
      <c r="K50" s="314">
        <v>0</v>
      </c>
      <c r="L50" s="314">
        <v>0</v>
      </c>
      <c r="M50" s="314">
        <v>0</v>
      </c>
      <c r="N50" s="314">
        <v>0</v>
      </c>
      <c r="O50" s="314">
        <v>0</v>
      </c>
      <c r="P50" s="314">
        <v>0</v>
      </c>
      <c r="Q50" s="314">
        <v>0</v>
      </c>
      <c r="R50" s="314">
        <v>0</v>
      </c>
      <c r="S50" s="314">
        <v>0</v>
      </c>
      <c r="T50" s="314">
        <v>0</v>
      </c>
      <c r="U50" s="314">
        <v>0</v>
      </c>
      <c r="V50" s="314">
        <v>0</v>
      </c>
      <c r="W50" s="314">
        <v>0</v>
      </c>
      <c r="X50" s="314">
        <v>0</v>
      </c>
      <c r="Y50" s="314">
        <v>0</v>
      </c>
      <c r="Z50" s="314">
        <v>0</v>
      </c>
      <c r="AA50" s="314">
        <v>0</v>
      </c>
      <c r="AB50" s="310">
        <f t="shared" si="5"/>
        <v>0</v>
      </c>
      <c r="AC50" s="311">
        <f t="shared" si="6"/>
        <v>0</v>
      </c>
    </row>
    <row r="51" spans="1:29" ht="35.25" customHeight="1" x14ac:dyDescent="0.25">
      <c r="A51" s="308" t="s">
        <v>56</v>
      </c>
      <c r="B51" s="309" t="s">
        <v>133</v>
      </c>
      <c r="C51" s="310">
        <v>0</v>
      </c>
      <c r="D51" s="310">
        <v>0</v>
      </c>
      <c r="E51" s="310">
        <f t="shared" si="12"/>
        <v>0</v>
      </c>
      <c r="F51" s="310">
        <f t="shared" si="7"/>
        <v>0</v>
      </c>
      <c r="G51" s="310">
        <v>0</v>
      </c>
      <c r="H51" s="310">
        <v>0</v>
      </c>
      <c r="I51" s="310">
        <v>0</v>
      </c>
      <c r="J51" s="310">
        <v>0</v>
      </c>
      <c r="K51" s="310">
        <v>0</v>
      </c>
      <c r="L51" s="310">
        <v>0</v>
      </c>
      <c r="M51" s="310">
        <v>0</v>
      </c>
      <c r="N51" s="310">
        <v>0</v>
      </c>
      <c r="O51" s="310">
        <v>0</v>
      </c>
      <c r="P51" s="310">
        <v>0</v>
      </c>
      <c r="Q51" s="310">
        <v>0</v>
      </c>
      <c r="R51" s="310">
        <v>0</v>
      </c>
      <c r="S51" s="310">
        <v>0</v>
      </c>
      <c r="T51" s="310">
        <v>0</v>
      </c>
      <c r="U51" s="310">
        <v>0</v>
      </c>
      <c r="V51" s="310">
        <v>0</v>
      </c>
      <c r="W51" s="310">
        <v>0</v>
      </c>
      <c r="X51" s="310">
        <v>0</v>
      </c>
      <c r="Y51" s="310">
        <v>0</v>
      </c>
      <c r="Z51" s="310">
        <v>0</v>
      </c>
      <c r="AA51" s="310">
        <v>0</v>
      </c>
      <c r="AB51" s="310">
        <f t="shared" si="5"/>
        <v>0</v>
      </c>
      <c r="AC51" s="311">
        <f t="shared" si="6"/>
        <v>0</v>
      </c>
    </row>
    <row r="52" spans="1:29" x14ac:dyDescent="0.25">
      <c r="A52" s="312" t="s">
        <v>132</v>
      </c>
      <c r="B52" s="313" t="s">
        <v>131</v>
      </c>
      <c r="C52" s="310">
        <f>C30</f>
        <v>17.326238700000001</v>
      </c>
      <c r="D52" s="310">
        <v>0</v>
      </c>
      <c r="E52" s="310">
        <f t="shared" si="12"/>
        <v>17.326238700000001</v>
      </c>
      <c r="F52" s="310">
        <f t="shared" si="7"/>
        <v>-2.5030883999999993</v>
      </c>
      <c r="G52" s="314">
        <v>0</v>
      </c>
      <c r="H52" s="314">
        <f>H30</f>
        <v>17.326238700000001</v>
      </c>
      <c r="I52" s="314">
        <v>0</v>
      </c>
      <c r="J52" s="314">
        <v>19.8293271</v>
      </c>
      <c r="K52" s="314">
        <v>0</v>
      </c>
      <c r="L52" s="314">
        <v>0</v>
      </c>
      <c r="M52" s="314">
        <v>0</v>
      </c>
      <c r="N52" s="314">
        <v>0</v>
      </c>
      <c r="O52" s="314">
        <v>0</v>
      </c>
      <c r="P52" s="314">
        <v>0</v>
      </c>
      <c r="Q52" s="314">
        <v>0</v>
      </c>
      <c r="R52" s="314">
        <v>0</v>
      </c>
      <c r="S52" s="314">
        <v>0</v>
      </c>
      <c r="T52" s="314">
        <v>0</v>
      </c>
      <c r="U52" s="314">
        <v>0</v>
      </c>
      <c r="V52" s="314">
        <v>0</v>
      </c>
      <c r="W52" s="314">
        <v>0</v>
      </c>
      <c r="X52" s="314">
        <v>0</v>
      </c>
      <c r="Y52" s="314">
        <v>0</v>
      </c>
      <c r="Z52" s="314">
        <v>0</v>
      </c>
      <c r="AA52" s="314">
        <v>0</v>
      </c>
      <c r="AB52" s="310">
        <f t="shared" si="5"/>
        <v>17.326238700000001</v>
      </c>
      <c r="AC52" s="311">
        <f t="shared" si="6"/>
        <v>19.8293271</v>
      </c>
    </row>
    <row r="53" spans="1:29" x14ac:dyDescent="0.25">
      <c r="A53" s="312" t="s">
        <v>130</v>
      </c>
      <c r="B53" s="313" t="s">
        <v>124</v>
      </c>
      <c r="C53" s="310">
        <v>0</v>
      </c>
      <c r="D53" s="310">
        <v>0</v>
      </c>
      <c r="E53" s="310">
        <f t="shared" si="12"/>
        <v>0</v>
      </c>
      <c r="F53" s="310">
        <f t="shared" si="7"/>
        <v>0</v>
      </c>
      <c r="G53" s="314">
        <v>0</v>
      </c>
      <c r="H53" s="314">
        <v>0</v>
      </c>
      <c r="I53" s="314">
        <v>0</v>
      </c>
      <c r="J53" s="314">
        <v>0</v>
      </c>
      <c r="K53" s="314">
        <v>0</v>
      </c>
      <c r="L53" s="314">
        <v>0</v>
      </c>
      <c r="M53" s="314">
        <v>0</v>
      </c>
      <c r="N53" s="314">
        <v>0</v>
      </c>
      <c r="O53" s="314">
        <v>0</v>
      </c>
      <c r="P53" s="314">
        <v>0</v>
      </c>
      <c r="Q53" s="314">
        <v>0</v>
      </c>
      <c r="R53" s="314">
        <v>0</v>
      </c>
      <c r="S53" s="314">
        <v>0</v>
      </c>
      <c r="T53" s="314">
        <v>0</v>
      </c>
      <c r="U53" s="314">
        <v>0</v>
      </c>
      <c r="V53" s="314">
        <v>0</v>
      </c>
      <c r="W53" s="314">
        <v>0</v>
      </c>
      <c r="X53" s="314">
        <v>0</v>
      </c>
      <c r="Y53" s="314">
        <v>0</v>
      </c>
      <c r="Z53" s="314">
        <v>0</v>
      </c>
      <c r="AA53" s="314">
        <v>0</v>
      </c>
      <c r="AB53" s="310">
        <f t="shared" si="5"/>
        <v>0</v>
      </c>
      <c r="AC53" s="311">
        <f t="shared" si="6"/>
        <v>0</v>
      </c>
    </row>
    <row r="54" spans="1:29" x14ac:dyDescent="0.25">
      <c r="A54" s="312" t="s">
        <v>129</v>
      </c>
      <c r="B54" s="315" t="s">
        <v>123</v>
      </c>
      <c r="C54" s="310">
        <v>0</v>
      </c>
      <c r="D54" s="310">
        <v>0</v>
      </c>
      <c r="E54" s="310">
        <f t="shared" si="12"/>
        <v>0</v>
      </c>
      <c r="F54" s="310">
        <f t="shared" si="7"/>
        <v>0</v>
      </c>
      <c r="G54" s="314">
        <v>0</v>
      </c>
      <c r="H54" s="314">
        <v>0</v>
      </c>
      <c r="I54" s="314">
        <v>0</v>
      </c>
      <c r="J54" s="314">
        <v>0</v>
      </c>
      <c r="K54" s="314">
        <v>0</v>
      </c>
      <c r="L54" s="314">
        <v>0</v>
      </c>
      <c r="M54" s="314">
        <v>0</v>
      </c>
      <c r="N54" s="314">
        <v>0</v>
      </c>
      <c r="O54" s="314">
        <v>0</v>
      </c>
      <c r="P54" s="314">
        <v>0</v>
      </c>
      <c r="Q54" s="314">
        <v>0</v>
      </c>
      <c r="R54" s="314">
        <v>0</v>
      </c>
      <c r="S54" s="314">
        <v>0</v>
      </c>
      <c r="T54" s="314">
        <v>0</v>
      </c>
      <c r="U54" s="314">
        <v>0</v>
      </c>
      <c r="V54" s="314">
        <v>0</v>
      </c>
      <c r="W54" s="314">
        <v>0</v>
      </c>
      <c r="X54" s="314">
        <v>0</v>
      </c>
      <c r="Y54" s="314">
        <v>0</v>
      </c>
      <c r="Z54" s="314">
        <v>0</v>
      </c>
      <c r="AA54" s="314">
        <v>0</v>
      </c>
      <c r="AB54" s="310">
        <f t="shared" si="5"/>
        <v>0</v>
      </c>
      <c r="AC54" s="311">
        <f t="shared" si="6"/>
        <v>0</v>
      </c>
    </row>
    <row r="55" spans="1:29" x14ac:dyDescent="0.25">
      <c r="A55" s="312" t="s">
        <v>128</v>
      </c>
      <c r="B55" s="315" t="s">
        <v>122</v>
      </c>
      <c r="C55" s="310">
        <v>0</v>
      </c>
      <c r="D55" s="310">
        <v>0</v>
      </c>
      <c r="E55" s="310">
        <f t="shared" si="12"/>
        <v>0</v>
      </c>
      <c r="F55" s="310">
        <f t="shared" si="7"/>
        <v>0</v>
      </c>
      <c r="G55" s="314">
        <v>0</v>
      </c>
      <c r="H55" s="314">
        <v>0</v>
      </c>
      <c r="I55" s="314">
        <v>0</v>
      </c>
      <c r="J55" s="314">
        <v>0</v>
      </c>
      <c r="K55" s="314">
        <v>0</v>
      </c>
      <c r="L55" s="314">
        <v>0</v>
      </c>
      <c r="M55" s="314">
        <v>0</v>
      </c>
      <c r="N55" s="314">
        <v>0</v>
      </c>
      <c r="O55" s="314">
        <v>0</v>
      </c>
      <c r="P55" s="314">
        <v>0</v>
      </c>
      <c r="Q55" s="314">
        <v>0</v>
      </c>
      <c r="R55" s="314">
        <v>0</v>
      </c>
      <c r="S55" s="314">
        <v>0</v>
      </c>
      <c r="T55" s="314">
        <v>0</v>
      </c>
      <c r="U55" s="314">
        <v>0</v>
      </c>
      <c r="V55" s="314">
        <v>0</v>
      </c>
      <c r="W55" s="314">
        <v>0</v>
      </c>
      <c r="X55" s="314">
        <v>0</v>
      </c>
      <c r="Y55" s="314">
        <v>0</v>
      </c>
      <c r="Z55" s="314">
        <v>0</v>
      </c>
      <c r="AA55" s="314">
        <v>0</v>
      </c>
      <c r="AB55" s="310">
        <f t="shared" si="5"/>
        <v>0</v>
      </c>
      <c r="AC55" s="311">
        <f t="shared" si="6"/>
        <v>0</v>
      </c>
    </row>
    <row r="56" spans="1:29" x14ac:dyDescent="0.25">
      <c r="A56" s="312" t="s">
        <v>127</v>
      </c>
      <c r="B56" s="315" t="s">
        <v>121</v>
      </c>
      <c r="C56" s="310">
        <f>C47+C48+C49</f>
        <v>1.9990000000000001</v>
      </c>
      <c r="D56" s="310">
        <v>0</v>
      </c>
      <c r="E56" s="310">
        <f t="shared" si="12"/>
        <v>1.9990000000000001</v>
      </c>
      <c r="F56" s="310">
        <f t="shared" si="7"/>
        <v>0.47100000000000009</v>
      </c>
      <c r="G56" s="314">
        <v>0</v>
      </c>
      <c r="H56" s="314">
        <f>H47+H48+H49</f>
        <v>1.9990000000000001</v>
      </c>
      <c r="I56" s="314">
        <v>0</v>
      </c>
      <c r="J56" s="314">
        <f>J47+J48+J49</f>
        <v>1.528</v>
      </c>
      <c r="K56" s="314">
        <v>0</v>
      </c>
      <c r="L56" s="314">
        <v>0</v>
      </c>
      <c r="M56" s="314">
        <v>0</v>
      </c>
      <c r="N56" s="314">
        <v>0</v>
      </c>
      <c r="O56" s="314">
        <v>0</v>
      </c>
      <c r="P56" s="314">
        <v>0</v>
      </c>
      <c r="Q56" s="314">
        <v>0</v>
      </c>
      <c r="R56" s="314">
        <v>0</v>
      </c>
      <c r="S56" s="314">
        <v>0</v>
      </c>
      <c r="T56" s="314">
        <v>0</v>
      </c>
      <c r="U56" s="314">
        <v>0</v>
      </c>
      <c r="V56" s="314">
        <v>0</v>
      </c>
      <c r="W56" s="314">
        <v>0</v>
      </c>
      <c r="X56" s="314">
        <v>0</v>
      </c>
      <c r="Y56" s="314">
        <v>0</v>
      </c>
      <c r="Z56" s="314">
        <v>0</v>
      </c>
      <c r="AA56" s="314">
        <v>0</v>
      </c>
      <c r="AB56" s="310">
        <f t="shared" si="5"/>
        <v>1.9990000000000001</v>
      </c>
      <c r="AC56" s="311">
        <f t="shared" si="6"/>
        <v>1.528</v>
      </c>
    </row>
    <row r="57" spans="1:29" ht="18.75" x14ac:dyDescent="0.25">
      <c r="A57" s="312" t="s">
        <v>126</v>
      </c>
      <c r="B57" s="315" t="s">
        <v>553</v>
      </c>
      <c r="C57" s="310">
        <v>0</v>
      </c>
      <c r="D57" s="310">
        <v>0</v>
      </c>
      <c r="E57" s="310">
        <f t="shared" si="12"/>
        <v>0</v>
      </c>
      <c r="F57" s="310">
        <f t="shared" si="7"/>
        <v>0</v>
      </c>
      <c r="G57" s="314">
        <v>0</v>
      </c>
      <c r="H57" s="314">
        <v>0</v>
      </c>
      <c r="I57" s="314">
        <v>0</v>
      </c>
      <c r="J57" s="314">
        <v>0</v>
      </c>
      <c r="K57" s="314">
        <v>0</v>
      </c>
      <c r="L57" s="314">
        <v>0</v>
      </c>
      <c r="M57" s="314">
        <v>0</v>
      </c>
      <c r="N57" s="314">
        <v>0</v>
      </c>
      <c r="O57" s="314">
        <v>0</v>
      </c>
      <c r="P57" s="314">
        <v>0</v>
      </c>
      <c r="Q57" s="314">
        <v>0</v>
      </c>
      <c r="R57" s="314">
        <v>0</v>
      </c>
      <c r="S57" s="314">
        <v>0</v>
      </c>
      <c r="T57" s="314">
        <v>0</v>
      </c>
      <c r="U57" s="314">
        <v>0</v>
      </c>
      <c r="V57" s="314">
        <v>0</v>
      </c>
      <c r="W57" s="314">
        <v>0</v>
      </c>
      <c r="X57" s="314">
        <v>0</v>
      </c>
      <c r="Y57" s="314">
        <v>0</v>
      </c>
      <c r="Z57" s="314">
        <v>0</v>
      </c>
      <c r="AA57" s="314">
        <v>0</v>
      </c>
      <c r="AB57" s="310">
        <f t="shared" si="5"/>
        <v>0</v>
      </c>
      <c r="AC57" s="311">
        <f t="shared" si="6"/>
        <v>0</v>
      </c>
    </row>
    <row r="58" spans="1:29" ht="36.75" customHeight="1" x14ac:dyDescent="0.25">
      <c r="A58" s="308" t="s">
        <v>55</v>
      </c>
      <c r="B58" s="316" t="s">
        <v>205</v>
      </c>
      <c r="C58" s="310">
        <v>0</v>
      </c>
      <c r="D58" s="310">
        <v>0</v>
      </c>
      <c r="E58" s="310">
        <f t="shared" si="12"/>
        <v>0</v>
      </c>
      <c r="F58" s="310">
        <f t="shared" si="7"/>
        <v>0</v>
      </c>
      <c r="G58" s="310">
        <v>0</v>
      </c>
      <c r="H58" s="310">
        <v>0</v>
      </c>
      <c r="I58" s="310">
        <v>0</v>
      </c>
      <c r="J58" s="310">
        <v>0</v>
      </c>
      <c r="K58" s="310">
        <v>0</v>
      </c>
      <c r="L58" s="310">
        <v>0</v>
      </c>
      <c r="M58" s="310">
        <v>0</v>
      </c>
      <c r="N58" s="310">
        <v>0</v>
      </c>
      <c r="O58" s="310">
        <v>0</v>
      </c>
      <c r="P58" s="310">
        <v>0</v>
      </c>
      <c r="Q58" s="310">
        <v>0</v>
      </c>
      <c r="R58" s="310">
        <v>0</v>
      </c>
      <c r="S58" s="310">
        <v>0</v>
      </c>
      <c r="T58" s="310">
        <v>0</v>
      </c>
      <c r="U58" s="310">
        <v>0</v>
      </c>
      <c r="V58" s="310">
        <v>0</v>
      </c>
      <c r="W58" s="310">
        <v>0</v>
      </c>
      <c r="X58" s="310">
        <v>0</v>
      </c>
      <c r="Y58" s="310">
        <v>0</v>
      </c>
      <c r="Z58" s="310">
        <v>0</v>
      </c>
      <c r="AA58" s="310">
        <v>0</v>
      </c>
      <c r="AB58" s="310">
        <f t="shared" si="5"/>
        <v>0</v>
      </c>
      <c r="AC58" s="311">
        <f t="shared" si="6"/>
        <v>0</v>
      </c>
    </row>
    <row r="59" spans="1:29" x14ac:dyDescent="0.25">
      <c r="A59" s="308" t="s">
        <v>53</v>
      </c>
      <c r="B59" s="309" t="s">
        <v>125</v>
      </c>
      <c r="C59" s="310">
        <v>0</v>
      </c>
      <c r="D59" s="310">
        <v>0</v>
      </c>
      <c r="E59" s="310">
        <f t="shared" si="12"/>
        <v>0</v>
      </c>
      <c r="F59" s="310">
        <f t="shared" si="7"/>
        <v>0</v>
      </c>
      <c r="G59" s="310">
        <v>0</v>
      </c>
      <c r="H59" s="310">
        <v>0</v>
      </c>
      <c r="I59" s="310">
        <v>0</v>
      </c>
      <c r="J59" s="310">
        <v>0</v>
      </c>
      <c r="K59" s="310">
        <v>0</v>
      </c>
      <c r="L59" s="310">
        <v>0</v>
      </c>
      <c r="M59" s="310">
        <v>0</v>
      </c>
      <c r="N59" s="310">
        <v>0</v>
      </c>
      <c r="O59" s="310">
        <v>0</v>
      </c>
      <c r="P59" s="310">
        <v>0</v>
      </c>
      <c r="Q59" s="310">
        <v>0</v>
      </c>
      <c r="R59" s="310">
        <v>0</v>
      </c>
      <c r="S59" s="310">
        <v>0</v>
      </c>
      <c r="T59" s="310">
        <v>0</v>
      </c>
      <c r="U59" s="310">
        <v>0</v>
      </c>
      <c r="V59" s="310">
        <v>0</v>
      </c>
      <c r="W59" s="310">
        <v>0</v>
      </c>
      <c r="X59" s="310">
        <v>0</v>
      </c>
      <c r="Y59" s="310">
        <v>0</v>
      </c>
      <c r="Z59" s="310">
        <v>0</v>
      </c>
      <c r="AA59" s="310">
        <v>0</v>
      </c>
      <c r="AB59" s="310">
        <f t="shared" si="5"/>
        <v>0</v>
      </c>
      <c r="AC59" s="311">
        <f t="shared" si="6"/>
        <v>0</v>
      </c>
    </row>
    <row r="60" spans="1:29" x14ac:dyDescent="0.25">
      <c r="A60" s="312" t="s">
        <v>199</v>
      </c>
      <c r="B60" s="317" t="s">
        <v>145</v>
      </c>
      <c r="C60" s="310">
        <v>0</v>
      </c>
      <c r="D60" s="310">
        <v>0</v>
      </c>
      <c r="E60" s="310">
        <f t="shared" si="12"/>
        <v>0</v>
      </c>
      <c r="F60" s="310">
        <f t="shared" si="7"/>
        <v>0</v>
      </c>
      <c r="G60" s="314">
        <v>0</v>
      </c>
      <c r="H60" s="314">
        <v>0</v>
      </c>
      <c r="I60" s="314">
        <v>0</v>
      </c>
      <c r="J60" s="314">
        <v>0</v>
      </c>
      <c r="K60" s="314">
        <v>0</v>
      </c>
      <c r="L60" s="314">
        <v>0</v>
      </c>
      <c r="M60" s="314">
        <v>0</v>
      </c>
      <c r="N60" s="314">
        <v>0</v>
      </c>
      <c r="O60" s="314">
        <v>0</v>
      </c>
      <c r="P60" s="314">
        <v>0</v>
      </c>
      <c r="Q60" s="314">
        <v>0</v>
      </c>
      <c r="R60" s="314">
        <v>0</v>
      </c>
      <c r="S60" s="314">
        <v>0</v>
      </c>
      <c r="T60" s="314">
        <v>0</v>
      </c>
      <c r="U60" s="314">
        <v>0</v>
      </c>
      <c r="V60" s="314">
        <v>0</v>
      </c>
      <c r="W60" s="314">
        <v>0</v>
      </c>
      <c r="X60" s="314">
        <v>0</v>
      </c>
      <c r="Y60" s="314">
        <v>0</v>
      </c>
      <c r="Z60" s="314">
        <v>0</v>
      </c>
      <c r="AA60" s="314">
        <v>0</v>
      </c>
      <c r="AB60" s="310">
        <f t="shared" si="5"/>
        <v>0</v>
      </c>
      <c r="AC60" s="311">
        <f t="shared" si="6"/>
        <v>0</v>
      </c>
    </row>
    <row r="61" spans="1:29" x14ac:dyDescent="0.25">
      <c r="A61" s="312" t="s">
        <v>200</v>
      </c>
      <c r="B61" s="317" t="s">
        <v>143</v>
      </c>
      <c r="C61" s="310">
        <v>0.33499999999999996</v>
      </c>
      <c r="D61" s="310">
        <v>0</v>
      </c>
      <c r="E61" s="310">
        <f t="shared" si="12"/>
        <v>0.33499999999999996</v>
      </c>
      <c r="F61" s="310">
        <f t="shared" si="7"/>
        <v>0.33499999999999996</v>
      </c>
      <c r="G61" s="314">
        <v>0</v>
      </c>
      <c r="H61" s="314">
        <v>0.33499999999999996</v>
      </c>
      <c r="I61" s="314">
        <v>0</v>
      </c>
      <c r="J61" s="314">
        <v>0</v>
      </c>
      <c r="K61" s="314">
        <v>0</v>
      </c>
      <c r="L61" s="314">
        <v>0</v>
      </c>
      <c r="M61" s="314">
        <v>0</v>
      </c>
      <c r="N61" s="314">
        <v>0</v>
      </c>
      <c r="O61" s="314">
        <v>0</v>
      </c>
      <c r="P61" s="314">
        <v>0</v>
      </c>
      <c r="Q61" s="314">
        <v>0</v>
      </c>
      <c r="R61" s="314">
        <v>0</v>
      </c>
      <c r="S61" s="314">
        <v>0</v>
      </c>
      <c r="T61" s="314">
        <v>0</v>
      </c>
      <c r="U61" s="314">
        <v>0</v>
      </c>
      <c r="V61" s="314">
        <v>0</v>
      </c>
      <c r="W61" s="314">
        <v>0</v>
      </c>
      <c r="X61" s="314">
        <v>0</v>
      </c>
      <c r="Y61" s="314">
        <v>0</v>
      </c>
      <c r="Z61" s="314">
        <v>0</v>
      </c>
      <c r="AA61" s="314">
        <v>0</v>
      </c>
      <c r="AB61" s="310">
        <f t="shared" si="5"/>
        <v>0.33499999999999996</v>
      </c>
      <c r="AC61" s="311">
        <f t="shared" si="6"/>
        <v>0</v>
      </c>
    </row>
    <row r="62" spans="1:29" x14ac:dyDescent="0.25">
      <c r="A62" s="312" t="s">
        <v>201</v>
      </c>
      <c r="B62" s="317" t="s">
        <v>141</v>
      </c>
      <c r="C62" s="310">
        <v>0</v>
      </c>
      <c r="D62" s="310">
        <v>0</v>
      </c>
      <c r="E62" s="310">
        <f t="shared" si="12"/>
        <v>0</v>
      </c>
      <c r="F62" s="310">
        <f t="shared" si="7"/>
        <v>0</v>
      </c>
      <c r="G62" s="314">
        <v>0</v>
      </c>
      <c r="H62" s="314">
        <v>0</v>
      </c>
      <c r="I62" s="314">
        <v>0</v>
      </c>
      <c r="J62" s="314">
        <v>0</v>
      </c>
      <c r="K62" s="314">
        <v>0</v>
      </c>
      <c r="L62" s="314">
        <v>0</v>
      </c>
      <c r="M62" s="314">
        <v>0</v>
      </c>
      <c r="N62" s="314">
        <v>0</v>
      </c>
      <c r="O62" s="314">
        <v>0</v>
      </c>
      <c r="P62" s="314">
        <v>0</v>
      </c>
      <c r="Q62" s="314">
        <v>0</v>
      </c>
      <c r="R62" s="314">
        <v>0</v>
      </c>
      <c r="S62" s="314">
        <v>0</v>
      </c>
      <c r="T62" s="314">
        <v>0</v>
      </c>
      <c r="U62" s="314">
        <v>0</v>
      </c>
      <c r="V62" s="314">
        <v>0</v>
      </c>
      <c r="W62" s="314">
        <v>0</v>
      </c>
      <c r="X62" s="314">
        <v>0</v>
      </c>
      <c r="Y62" s="314">
        <v>0</v>
      </c>
      <c r="Z62" s="314">
        <v>0</v>
      </c>
      <c r="AA62" s="314">
        <v>0</v>
      </c>
      <c r="AB62" s="310">
        <f t="shared" si="5"/>
        <v>0</v>
      </c>
      <c r="AC62" s="311">
        <f t="shared" si="6"/>
        <v>0</v>
      </c>
    </row>
    <row r="63" spans="1:29" x14ac:dyDescent="0.25">
      <c r="A63" s="312" t="s">
        <v>202</v>
      </c>
      <c r="B63" s="317" t="s">
        <v>204</v>
      </c>
      <c r="C63" s="310">
        <v>1.0549999999999999</v>
      </c>
      <c r="D63" s="310">
        <v>0</v>
      </c>
      <c r="E63" s="310">
        <f t="shared" si="12"/>
        <v>1.0549999999999999</v>
      </c>
      <c r="F63" s="310">
        <f t="shared" si="7"/>
        <v>0</v>
      </c>
      <c r="G63" s="314">
        <v>0</v>
      </c>
      <c r="H63" s="314">
        <v>1.0549999999999999</v>
      </c>
      <c r="I63" s="314">
        <v>0</v>
      </c>
      <c r="J63" s="314">
        <v>1.0549999999999999</v>
      </c>
      <c r="K63" s="314">
        <v>0</v>
      </c>
      <c r="L63" s="314">
        <v>0</v>
      </c>
      <c r="M63" s="314">
        <v>0</v>
      </c>
      <c r="N63" s="314">
        <v>0</v>
      </c>
      <c r="O63" s="314">
        <v>0</v>
      </c>
      <c r="P63" s="314">
        <v>0</v>
      </c>
      <c r="Q63" s="314">
        <v>0</v>
      </c>
      <c r="R63" s="314">
        <v>0</v>
      </c>
      <c r="S63" s="314">
        <v>0</v>
      </c>
      <c r="T63" s="314">
        <v>0</v>
      </c>
      <c r="U63" s="314">
        <v>0</v>
      </c>
      <c r="V63" s="314">
        <v>0</v>
      </c>
      <c r="W63" s="314">
        <v>0</v>
      </c>
      <c r="X63" s="314">
        <v>0</v>
      </c>
      <c r="Y63" s="314">
        <v>0</v>
      </c>
      <c r="Z63" s="314">
        <v>0</v>
      </c>
      <c r="AA63" s="314">
        <v>0</v>
      </c>
      <c r="AB63" s="310">
        <f t="shared" si="5"/>
        <v>1.0549999999999999</v>
      </c>
      <c r="AC63" s="311">
        <f t="shared" si="6"/>
        <v>1.0549999999999999</v>
      </c>
    </row>
    <row r="64" spans="1:29" ht="18.75" x14ac:dyDescent="0.25">
      <c r="A64" s="312" t="s">
        <v>203</v>
      </c>
      <c r="B64" s="315" t="s">
        <v>554</v>
      </c>
      <c r="C64" s="310">
        <v>0</v>
      </c>
      <c r="D64" s="310">
        <v>0</v>
      </c>
      <c r="E64" s="310">
        <f t="shared" si="12"/>
        <v>0</v>
      </c>
      <c r="F64" s="310">
        <f t="shared" si="7"/>
        <v>0</v>
      </c>
      <c r="G64" s="314">
        <v>0</v>
      </c>
      <c r="H64" s="314">
        <v>0</v>
      </c>
      <c r="I64" s="314">
        <v>0</v>
      </c>
      <c r="J64" s="314">
        <v>0</v>
      </c>
      <c r="K64" s="314">
        <v>0</v>
      </c>
      <c r="L64" s="314">
        <v>0</v>
      </c>
      <c r="M64" s="314">
        <v>0</v>
      </c>
      <c r="N64" s="314">
        <v>0</v>
      </c>
      <c r="O64" s="314">
        <v>0</v>
      </c>
      <c r="P64" s="314">
        <v>0</v>
      </c>
      <c r="Q64" s="314">
        <v>0</v>
      </c>
      <c r="R64" s="314">
        <v>0</v>
      </c>
      <c r="S64" s="314">
        <v>0</v>
      </c>
      <c r="T64" s="314">
        <v>0</v>
      </c>
      <c r="U64" s="314">
        <v>0</v>
      </c>
      <c r="V64" s="314">
        <v>0</v>
      </c>
      <c r="W64" s="314">
        <v>0</v>
      </c>
      <c r="X64" s="314">
        <v>0</v>
      </c>
      <c r="Y64" s="314">
        <v>0</v>
      </c>
      <c r="Z64" s="314">
        <v>0</v>
      </c>
      <c r="AA64" s="314">
        <v>0</v>
      </c>
      <c r="AB64" s="310">
        <f t="shared" si="5"/>
        <v>0</v>
      </c>
      <c r="AC64" s="311">
        <f t="shared" si="6"/>
        <v>0</v>
      </c>
    </row>
    <row r="65" spans="1:28" x14ac:dyDescent="0.25">
      <c r="A65" s="61"/>
      <c r="B65" s="62"/>
      <c r="C65" s="62"/>
      <c r="D65" s="62"/>
      <c r="E65" s="62"/>
      <c r="F65" s="62"/>
      <c r="G65" s="62"/>
      <c r="H65" s="62"/>
      <c r="I65" s="62"/>
      <c r="J65" s="62"/>
      <c r="K65" s="62"/>
      <c r="L65" s="62"/>
      <c r="M65" s="62"/>
      <c r="N65" s="62"/>
      <c r="O65" s="62"/>
      <c r="P65" s="62"/>
      <c r="Q65" s="62"/>
      <c r="R65" s="62"/>
      <c r="S65" s="62"/>
      <c r="T65" s="62"/>
      <c r="U65" s="62"/>
      <c r="V65" s="62"/>
      <c r="W65" s="62"/>
      <c r="X65" s="62"/>
      <c r="Y65" s="62"/>
      <c r="Z65" s="62"/>
      <c r="AA65" s="62"/>
      <c r="AB65" s="56"/>
    </row>
    <row r="66" spans="1:28" ht="54" customHeight="1" x14ac:dyDescent="0.25">
      <c r="A66" s="56"/>
      <c r="B66" s="516"/>
      <c r="C66" s="516"/>
      <c r="D66" s="516"/>
      <c r="E66" s="516"/>
      <c r="F66" s="516"/>
      <c r="G66" s="516"/>
      <c r="H66" s="516"/>
      <c r="I66" s="516"/>
      <c r="J66" s="303"/>
      <c r="K66" s="303"/>
      <c r="L66" s="303"/>
      <c r="M66" s="303"/>
      <c r="N66" s="303"/>
      <c r="O66" s="303"/>
      <c r="P66" s="303"/>
      <c r="Q66" s="303"/>
      <c r="R66" s="303"/>
      <c r="S66" s="303"/>
      <c r="T66" s="303"/>
      <c r="U66" s="303"/>
      <c r="V66" s="303"/>
      <c r="W66" s="303"/>
      <c r="X66" s="303"/>
      <c r="Y66" s="303"/>
      <c r="Z66" s="303"/>
      <c r="AA66" s="303"/>
      <c r="AB66" s="60"/>
    </row>
    <row r="67" spans="1:28" x14ac:dyDescent="0.25">
      <c r="A67" s="56"/>
      <c r="B67" s="56"/>
      <c r="C67" s="56"/>
      <c r="D67" s="56"/>
      <c r="E67" s="56"/>
      <c r="F67" s="56"/>
      <c r="AB67" s="56"/>
    </row>
    <row r="68" spans="1:28" ht="50.25" customHeight="1" x14ac:dyDescent="0.25">
      <c r="A68" s="56"/>
      <c r="B68" s="517"/>
      <c r="C68" s="517"/>
      <c r="D68" s="517"/>
      <c r="E68" s="517"/>
      <c r="F68" s="517"/>
      <c r="G68" s="517"/>
      <c r="H68" s="517"/>
      <c r="I68" s="517"/>
      <c r="J68" s="304"/>
      <c r="K68" s="304"/>
      <c r="L68" s="304"/>
      <c r="M68" s="304"/>
      <c r="N68" s="304"/>
      <c r="O68" s="304"/>
      <c r="P68" s="304"/>
      <c r="Q68" s="304"/>
      <c r="R68" s="304"/>
      <c r="S68" s="304"/>
      <c r="T68" s="304"/>
      <c r="U68" s="304"/>
      <c r="V68" s="304"/>
      <c r="W68" s="304"/>
      <c r="X68" s="304"/>
      <c r="Y68" s="304"/>
      <c r="Z68" s="304"/>
      <c r="AA68" s="304"/>
      <c r="AB68" s="56"/>
    </row>
    <row r="69" spans="1:28" x14ac:dyDescent="0.25">
      <c r="A69" s="56"/>
      <c r="B69" s="56"/>
      <c r="C69" s="56"/>
      <c r="D69" s="56"/>
      <c r="E69" s="56"/>
      <c r="F69" s="56"/>
      <c r="AB69" s="56"/>
    </row>
    <row r="70" spans="1:28" ht="36.75" customHeight="1" x14ac:dyDescent="0.25">
      <c r="A70" s="56"/>
      <c r="B70" s="516"/>
      <c r="C70" s="516"/>
      <c r="D70" s="516"/>
      <c r="E70" s="516"/>
      <c r="F70" s="516"/>
      <c r="G70" s="516"/>
      <c r="H70" s="516"/>
      <c r="I70" s="516"/>
      <c r="J70" s="303"/>
      <c r="K70" s="303"/>
      <c r="L70" s="303"/>
      <c r="M70" s="303"/>
      <c r="N70" s="303"/>
      <c r="O70" s="303"/>
      <c r="P70" s="303"/>
      <c r="Q70" s="303"/>
      <c r="R70" s="303"/>
      <c r="S70" s="303"/>
      <c r="T70" s="303"/>
      <c r="U70" s="303"/>
      <c r="V70" s="303"/>
      <c r="W70" s="303"/>
      <c r="X70" s="303"/>
      <c r="Y70" s="303"/>
      <c r="Z70" s="303"/>
      <c r="AA70" s="303"/>
      <c r="AB70" s="56"/>
    </row>
    <row r="71" spans="1:28" x14ac:dyDescent="0.25">
      <c r="A71" s="56"/>
      <c r="B71" s="59"/>
      <c r="C71" s="59"/>
      <c r="D71" s="59"/>
      <c r="E71" s="59"/>
      <c r="F71" s="59"/>
      <c r="AB71" s="56"/>
    </row>
    <row r="72" spans="1:28" ht="51" customHeight="1" x14ac:dyDescent="0.25">
      <c r="A72" s="56"/>
      <c r="B72" s="516"/>
      <c r="C72" s="516"/>
      <c r="D72" s="516"/>
      <c r="E72" s="516"/>
      <c r="F72" s="516"/>
      <c r="G72" s="516"/>
      <c r="H72" s="516"/>
      <c r="I72" s="516"/>
      <c r="J72" s="303"/>
      <c r="K72" s="303"/>
      <c r="L72" s="303"/>
      <c r="M72" s="303"/>
      <c r="N72" s="303"/>
      <c r="O72" s="303"/>
      <c r="P72" s="303"/>
      <c r="Q72" s="303"/>
      <c r="R72" s="303"/>
      <c r="S72" s="303"/>
      <c r="T72" s="303"/>
      <c r="U72" s="303"/>
      <c r="V72" s="303"/>
      <c r="W72" s="303"/>
      <c r="X72" s="303"/>
      <c r="Y72" s="303"/>
      <c r="Z72" s="303"/>
      <c r="AA72" s="303"/>
      <c r="AB72" s="56"/>
    </row>
    <row r="73" spans="1:28" ht="32.25" customHeight="1" x14ac:dyDescent="0.25">
      <c r="A73" s="56"/>
      <c r="B73" s="517"/>
      <c r="C73" s="517"/>
      <c r="D73" s="517"/>
      <c r="E73" s="517"/>
      <c r="F73" s="517"/>
      <c r="G73" s="517"/>
      <c r="H73" s="517"/>
      <c r="I73" s="517"/>
      <c r="J73" s="304"/>
      <c r="K73" s="304"/>
      <c r="L73" s="304"/>
      <c r="M73" s="304"/>
      <c r="N73" s="304"/>
      <c r="O73" s="304"/>
      <c r="P73" s="304"/>
      <c r="Q73" s="304"/>
      <c r="R73" s="304"/>
      <c r="S73" s="304"/>
      <c r="T73" s="304"/>
      <c r="U73" s="304"/>
      <c r="V73" s="304"/>
      <c r="W73" s="304"/>
      <c r="X73" s="304"/>
      <c r="Y73" s="304"/>
      <c r="Z73" s="304"/>
      <c r="AA73" s="304"/>
      <c r="AB73" s="56"/>
    </row>
    <row r="74" spans="1:28" ht="51.75" customHeight="1" x14ac:dyDescent="0.25">
      <c r="A74" s="56"/>
      <c r="B74" s="516"/>
      <c r="C74" s="516"/>
      <c r="D74" s="516"/>
      <c r="E74" s="516"/>
      <c r="F74" s="516"/>
      <c r="G74" s="516"/>
      <c r="H74" s="516"/>
      <c r="I74" s="516"/>
      <c r="J74" s="303"/>
      <c r="K74" s="303"/>
      <c r="L74" s="303"/>
      <c r="M74" s="303"/>
      <c r="N74" s="303"/>
      <c r="O74" s="303"/>
      <c r="P74" s="303"/>
      <c r="Q74" s="303"/>
      <c r="R74" s="303"/>
      <c r="S74" s="303"/>
      <c r="T74" s="303"/>
      <c r="U74" s="303"/>
      <c r="V74" s="303"/>
      <c r="W74" s="303"/>
      <c r="X74" s="303"/>
      <c r="Y74" s="303"/>
      <c r="Z74" s="303"/>
      <c r="AA74" s="303"/>
      <c r="AB74" s="56"/>
    </row>
    <row r="75" spans="1:28" ht="21.75" customHeight="1" x14ac:dyDescent="0.25">
      <c r="A75" s="56"/>
      <c r="B75" s="518"/>
      <c r="C75" s="518"/>
      <c r="D75" s="518"/>
      <c r="E75" s="518"/>
      <c r="F75" s="518"/>
      <c r="G75" s="518"/>
      <c r="H75" s="518"/>
      <c r="I75" s="518"/>
      <c r="J75" s="305"/>
      <c r="K75" s="305"/>
      <c r="L75" s="305"/>
      <c r="M75" s="305"/>
      <c r="N75" s="305"/>
      <c r="O75" s="305"/>
      <c r="P75" s="305"/>
      <c r="Q75" s="305"/>
      <c r="R75" s="305"/>
      <c r="S75" s="305"/>
      <c r="T75" s="305"/>
      <c r="U75" s="305"/>
      <c r="V75" s="305"/>
      <c r="W75" s="305"/>
      <c r="X75" s="305"/>
      <c r="Y75" s="305"/>
      <c r="Z75" s="305"/>
      <c r="AA75" s="305"/>
      <c r="AB75" s="56"/>
    </row>
    <row r="76" spans="1:28" ht="23.25" customHeight="1" x14ac:dyDescent="0.25">
      <c r="A76" s="56"/>
      <c r="B76" s="57"/>
      <c r="C76" s="57"/>
      <c r="D76" s="57"/>
      <c r="E76" s="57"/>
      <c r="F76" s="57"/>
      <c r="AB76" s="56"/>
    </row>
    <row r="77" spans="1:28" ht="18.75" customHeight="1" x14ac:dyDescent="0.25">
      <c r="A77" s="56"/>
      <c r="B77" s="515"/>
      <c r="C77" s="515"/>
      <c r="D77" s="515"/>
      <c r="E77" s="515"/>
      <c r="F77" s="515"/>
      <c r="G77" s="515"/>
      <c r="H77" s="515"/>
      <c r="I77" s="515"/>
      <c r="J77" s="302"/>
      <c r="K77" s="302"/>
      <c r="L77" s="302"/>
      <c r="M77" s="302"/>
      <c r="N77" s="302"/>
      <c r="O77" s="302"/>
      <c r="P77" s="302"/>
      <c r="Q77" s="302"/>
      <c r="R77" s="302"/>
      <c r="S77" s="302"/>
      <c r="T77" s="302"/>
      <c r="U77" s="302"/>
      <c r="V77" s="302"/>
      <c r="W77" s="302"/>
      <c r="X77" s="302"/>
      <c r="Y77" s="302"/>
      <c r="Z77" s="302"/>
      <c r="AA77" s="302"/>
      <c r="AB77" s="56"/>
    </row>
    <row r="78" spans="1:28" x14ac:dyDescent="0.25">
      <c r="A78" s="56"/>
      <c r="B78" s="56"/>
      <c r="C78" s="56"/>
      <c r="D78" s="56"/>
      <c r="E78" s="56"/>
      <c r="F78" s="56"/>
      <c r="AB78" s="56"/>
    </row>
    <row r="79" spans="1:28" x14ac:dyDescent="0.25">
      <c r="A79" s="56"/>
      <c r="B79" s="56"/>
      <c r="C79" s="56"/>
      <c r="D79" s="56"/>
      <c r="E79" s="56"/>
      <c r="F79" s="56"/>
      <c r="AB79" s="56"/>
    </row>
    <row r="80" spans="1:28" x14ac:dyDescent="0.25">
      <c r="G80" s="55"/>
      <c r="H80" s="55"/>
      <c r="I80" s="55"/>
      <c r="J80" s="55"/>
      <c r="K80" s="55"/>
      <c r="L80" s="55"/>
      <c r="M80" s="55"/>
      <c r="N80" s="55"/>
      <c r="O80" s="55"/>
      <c r="P80" s="55"/>
      <c r="Q80" s="55"/>
      <c r="R80" s="55"/>
      <c r="S80" s="55"/>
      <c r="T80" s="55"/>
      <c r="U80" s="55"/>
      <c r="V80" s="55"/>
      <c r="W80" s="55"/>
      <c r="X80" s="55"/>
      <c r="Y80" s="55"/>
      <c r="Z80" s="55"/>
      <c r="AA80" s="55"/>
    </row>
    <row r="81" spans="7:27" x14ac:dyDescent="0.25">
      <c r="G81" s="55"/>
      <c r="H81" s="55"/>
      <c r="I81" s="55"/>
      <c r="J81" s="55"/>
      <c r="K81" s="55"/>
      <c r="L81" s="55"/>
      <c r="M81" s="55"/>
      <c r="N81" s="55"/>
      <c r="O81" s="55"/>
      <c r="P81" s="55"/>
      <c r="Q81" s="55"/>
      <c r="R81" s="55"/>
      <c r="S81" s="55"/>
      <c r="T81" s="55"/>
      <c r="U81" s="55"/>
      <c r="V81" s="55"/>
      <c r="W81" s="55"/>
      <c r="X81" s="55"/>
      <c r="Y81" s="55"/>
      <c r="Z81" s="55"/>
      <c r="AA81" s="55"/>
    </row>
    <row r="82" spans="7:27" x14ac:dyDescent="0.25">
      <c r="G82" s="55"/>
      <c r="H82" s="55"/>
      <c r="I82" s="55"/>
      <c r="J82" s="55"/>
      <c r="K82" s="55"/>
      <c r="L82" s="55"/>
      <c r="M82" s="55"/>
      <c r="N82" s="55"/>
      <c r="O82" s="55"/>
      <c r="P82" s="55"/>
      <c r="Q82" s="55"/>
      <c r="R82" s="55"/>
      <c r="S82" s="55"/>
      <c r="T82" s="55"/>
      <c r="U82" s="55"/>
      <c r="V82" s="55"/>
      <c r="W82" s="55"/>
      <c r="X82" s="55"/>
      <c r="Y82" s="55"/>
      <c r="Z82" s="55"/>
      <c r="AA82" s="55"/>
    </row>
    <row r="83" spans="7:27" x14ac:dyDescent="0.25">
      <c r="G83" s="55"/>
      <c r="H83" s="55"/>
      <c r="I83" s="55"/>
      <c r="J83" s="55"/>
      <c r="K83" s="55"/>
      <c r="L83" s="55"/>
      <c r="M83" s="55"/>
      <c r="N83" s="55"/>
      <c r="O83" s="55"/>
      <c r="P83" s="55"/>
      <c r="Q83" s="55"/>
      <c r="R83" s="55"/>
      <c r="S83" s="55"/>
      <c r="T83" s="55"/>
      <c r="U83" s="55"/>
      <c r="V83" s="55"/>
      <c r="W83" s="55"/>
      <c r="X83" s="55"/>
      <c r="Y83" s="55"/>
      <c r="Z83" s="55"/>
      <c r="AA83" s="55"/>
    </row>
    <row r="84" spans="7:27" x14ac:dyDescent="0.25">
      <c r="G84" s="55"/>
      <c r="H84" s="55"/>
      <c r="I84" s="55"/>
      <c r="J84" s="55"/>
      <c r="K84" s="55"/>
      <c r="L84" s="55"/>
      <c r="M84" s="55"/>
      <c r="N84" s="55"/>
      <c r="O84" s="55"/>
      <c r="P84" s="55"/>
      <c r="Q84" s="55"/>
      <c r="R84" s="55"/>
      <c r="S84" s="55"/>
      <c r="T84" s="55"/>
      <c r="U84" s="55"/>
      <c r="V84" s="55"/>
      <c r="W84" s="55"/>
      <c r="X84" s="55"/>
      <c r="Y84" s="55"/>
      <c r="Z84" s="55"/>
      <c r="AA84" s="55"/>
    </row>
    <row r="85" spans="7:27" x14ac:dyDescent="0.25">
      <c r="G85" s="55"/>
      <c r="H85" s="55"/>
      <c r="I85" s="55"/>
      <c r="J85" s="55"/>
      <c r="K85" s="55"/>
      <c r="L85" s="55"/>
      <c r="M85" s="55"/>
      <c r="N85" s="55"/>
      <c r="O85" s="55"/>
      <c r="P85" s="55"/>
      <c r="Q85" s="55"/>
      <c r="R85" s="55"/>
      <c r="S85" s="55"/>
      <c r="T85" s="55"/>
      <c r="U85" s="55"/>
      <c r="V85" s="55"/>
      <c r="W85" s="55"/>
      <c r="X85" s="55"/>
      <c r="Y85" s="55"/>
      <c r="Z85" s="55"/>
      <c r="AA85" s="55"/>
    </row>
    <row r="86" spans="7:27" x14ac:dyDescent="0.25">
      <c r="G86" s="55"/>
      <c r="H86" s="55"/>
      <c r="I86" s="55"/>
      <c r="J86" s="55"/>
      <c r="K86" s="55"/>
      <c r="L86" s="55"/>
      <c r="M86" s="55"/>
      <c r="N86" s="55"/>
      <c r="O86" s="55"/>
      <c r="P86" s="55"/>
      <c r="Q86" s="55"/>
      <c r="R86" s="55"/>
      <c r="S86" s="55"/>
      <c r="T86" s="55"/>
      <c r="U86" s="55"/>
      <c r="V86" s="55"/>
      <c r="W86" s="55"/>
      <c r="X86" s="55"/>
      <c r="Y86" s="55"/>
      <c r="Z86" s="55"/>
      <c r="AA86" s="55"/>
    </row>
    <row r="87" spans="7:27" x14ac:dyDescent="0.25">
      <c r="G87" s="55"/>
      <c r="H87" s="55"/>
      <c r="I87" s="55"/>
      <c r="J87" s="55"/>
      <c r="K87" s="55"/>
      <c r="L87" s="55"/>
      <c r="M87" s="55"/>
      <c r="N87" s="55"/>
      <c r="O87" s="55"/>
      <c r="P87" s="55"/>
      <c r="Q87" s="55"/>
      <c r="R87" s="55"/>
      <c r="S87" s="55"/>
      <c r="T87" s="55"/>
      <c r="U87" s="55"/>
      <c r="V87" s="55"/>
      <c r="W87" s="55"/>
      <c r="X87" s="55"/>
      <c r="Y87" s="55"/>
      <c r="Z87" s="55"/>
      <c r="AA87" s="55"/>
    </row>
    <row r="88" spans="7:27" x14ac:dyDescent="0.25">
      <c r="G88" s="55"/>
      <c r="H88" s="55"/>
      <c r="I88" s="55"/>
      <c r="J88" s="55"/>
      <c r="K88" s="55"/>
      <c r="L88" s="55"/>
      <c r="M88" s="55"/>
      <c r="N88" s="55"/>
      <c r="O88" s="55"/>
      <c r="P88" s="55"/>
      <c r="Q88" s="55"/>
      <c r="R88" s="55"/>
      <c r="S88" s="55"/>
      <c r="T88" s="55"/>
      <c r="U88" s="55"/>
      <c r="V88" s="55"/>
      <c r="W88" s="55"/>
      <c r="X88" s="55"/>
      <c r="Y88" s="55"/>
      <c r="Z88" s="55"/>
      <c r="AA88" s="55"/>
    </row>
    <row r="89" spans="7:27" x14ac:dyDescent="0.25">
      <c r="G89" s="55"/>
      <c r="H89" s="55"/>
      <c r="I89" s="55"/>
      <c r="J89" s="55"/>
      <c r="K89" s="55"/>
      <c r="L89" s="55"/>
      <c r="M89" s="55"/>
      <c r="N89" s="55"/>
      <c r="O89" s="55"/>
      <c r="P89" s="55"/>
      <c r="Q89" s="55"/>
      <c r="R89" s="55"/>
      <c r="S89" s="55"/>
      <c r="T89" s="55"/>
      <c r="U89" s="55"/>
      <c r="V89" s="55"/>
      <c r="W89" s="55"/>
      <c r="X89" s="55"/>
      <c r="Y89" s="55"/>
      <c r="Z89" s="55"/>
      <c r="AA89" s="55"/>
    </row>
    <row r="90" spans="7:27" x14ac:dyDescent="0.25">
      <c r="G90" s="55"/>
      <c r="H90" s="55"/>
      <c r="I90" s="55"/>
      <c r="J90" s="55"/>
      <c r="K90" s="55"/>
      <c r="L90" s="55"/>
      <c r="M90" s="55"/>
      <c r="N90" s="55"/>
      <c r="O90" s="55"/>
      <c r="P90" s="55"/>
      <c r="Q90" s="55"/>
      <c r="R90" s="55"/>
      <c r="S90" s="55"/>
      <c r="T90" s="55"/>
      <c r="U90" s="55"/>
      <c r="V90" s="55"/>
      <c r="W90" s="55"/>
      <c r="X90" s="55"/>
      <c r="Y90" s="55"/>
      <c r="Z90" s="55"/>
      <c r="AA90" s="55"/>
    </row>
    <row r="91" spans="7:27" x14ac:dyDescent="0.25">
      <c r="G91" s="55"/>
      <c r="H91" s="55"/>
      <c r="I91" s="55"/>
      <c r="J91" s="55"/>
      <c r="K91" s="55"/>
      <c r="L91" s="55"/>
      <c r="M91" s="55"/>
      <c r="N91" s="55"/>
      <c r="O91" s="55"/>
      <c r="P91" s="55"/>
      <c r="Q91" s="55"/>
      <c r="R91" s="55"/>
      <c r="S91" s="55"/>
      <c r="T91" s="55"/>
      <c r="U91" s="55"/>
      <c r="V91" s="55"/>
      <c r="W91" s="55"/>
      <c r="X91" s="55"/>
      <c r="Y91" s="55"/>
      <c r="Z91" s="55"/>
      <c r="AA91" s="55"/>
    </row>
    <row r="92" spans="7:27" x14ac:dyDescent="0.25">
      <c r="G92" s="55"/>
      <c r="H92" s="55"/>
      <c r="I92" s="55"/>
      <c r="J92" s="55"/>
      <c r="K92" s="55"/>
      <c r="L92" s="55"/>
      <c r="M92" s="55"/>
      <c r="N92" s="55"/>
      <c r="O92" s="55"/>
      <c r="P92" s="55"/>
      <c r="Q92" s="55"/>
      <c r="R92" s="55"/>
      <c r="S92" s="55"/>
      <c r="T92" s="55"/>
      <c r="U92" s="55"/>
      <c r="V92" s="55"/>
      <c r="W92" s="55"/>
      <c r="X92" s="55"/>
      <c r="Y92" s="55"/>
      <c r="Z92" s="55"/>
      <c r="AA92" s="55"/>
    </row>
  </sheetData>
  <mergeCells count="39">
    <mergeCell ref="T20:W20"/>
    <mergeCell ref="X20:AA20"/>
    <mergeCell ref="AB20:AC21"/>
    <mergeCell ref="T21:U21"/>
    <mergeCell ref="V21:W21"/>
    <mergeCell ref="X21:Y21"/>
    <mergeCell ref="Z21:AA21"/>
    <mergeCell ref="A12:AC12"/>
    <mergeCell ref="A14:AC14"/>
    <mergeCell ref="A15:AC15"/>
    <mergeCell ref="A16:AC16"/>
    <mergeCell ref="A18:AC18"/>
    <mergeCell ref="H20:K20"/>
    <mergeCell ref="L20:O20"/>
    <mergeCell ref="A20:A22"/>
    <mergeCell ref="B20:B22"/>
    <mergeCell ref="P20:S20"/>
    <mergeCell ref="H21:I21"/>
    <mergeCell ref="J21:K21"/>
    <mergeCell ref="L21:M21"/>
    <mergeCell ref="N21:O21"/>
    <mergeCell ref="P21:Q21"/>
    <mergeCell ref="R21:S21"/>
    <mergeCell ref="C20:D21"/>
    <mergeCell ref="E20:F21"/>
    <mergeCell ref="G20:G22"/>
    <mergeCell ref="A4:AC4"/>
    <mergeCell ref="A6:AC6"/>
    <mergeCell ref="A8:AC8"/>
    <mergeCell ref="A9:AC9"/>
    <mergeCell ref="A11:AC11"/>
    <mergeCell ref="B77:I77"/>
    <mergeCell ref="B66:I66"/>
    <mergeCell ref="B68:I68"/>
    <mergeCell ref="B72:I72"/>
    <mergeCell ref="B73:I73"/>
    <mergeCell ref="B74:I74"/>
    <mergeCell ref="B70:I70"/>
    <mergeCell ref="B75:I75"/>
  </mergeCells>
  <conditionalFormatting sqref="C24:C64 E24:F64">
    <cfRule type="cellIs" dxfId="9" priority="10" operator="notEqual">
      <formula>0</formula>
    </cfRule>
  </conditionalFormatting>
  <conditionalFormatting sqref="AC24:AC64">
    <cfRule type="cellIs" dxfId="8" priority="8" operator="notEqual">
      <formula>0</formula>
    </cfRule>
  </conditionalFormatting>
  <conditionalFormatting sqref="L24:S29 L31:S64">
    <cfRule type="cellIs" dxfId="7" priority="7" operator="notEqual">
      <formula>0</formula>
    </cfRule>
  </conditionalFormatting>
  <conditionalFormatting sqref="G24:AB64">
    <cfRule type="cellIs" dxfId="6" priority="9" operator="notEqual">
      <formula>0</formula>
    </cfRule>
  </conditionalFormatting>
  <conditionalFormatting sqref="X25:X34">
    <cfRule type="cellIs" dxfId="5" priority="6" operator="notEqual">
      <formula>0</formula>
    </cfRule>
  </conditionalFormatting>
  <conditionalFormatting sqref="J24:J29 J31:J64">
    <cfRule type="cellIs" dxfId="4" priority="5" operator="notEqual">
      <formula>0</formula>
    </cfRule>
  </conditionalFormatting>
  <conditionalFormatting sqref="D24:D29 D31:D64">
    <cfRule type="cellIs" dxfId="3" priority="3" operator="notEqual">
      <formula>0</formula>
    </cfRule>
  </conditionalFormatting>
  <conditionalFormatting sqref="D24:D64">
    <cfRule type="cellIs" dxfId="2" priority="4" operator="notEqual">
      <formula>0</formula>
    </cfRule>
  </conditionalFormatting>
  <conditionalFormatting sqref="K24:K29 K31:K64">
    <cfRule type="cellIs" dxfId="1" priority="2" operator="notEqual">
      <formula>0</formula>
    </cfRule>
  </conditionalFormatting>
  <conditionalFormatting sqref="I24:I29 I31:I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5"/>
  <sheetViews>
    <sheetView view="pageBreakPreview" topLeftCell="X24" zoomScale="80" zoomScaleSheetLayoutView="80" workbookViewId="0">
      <selection activeCell="AD30" sqref="AD30"/>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5.85546875" style="18" customWidth="1"/>
    <col min="15" max="15" width="12.855468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8" style="18" customWidth="1"/>
    <col min="24" max="24" width="13.42578125" style="18" customWidth="1"/>
    <col min="25" max="25" width="18.42578125" style="18" customWidth="1"/>
    <col min="26" max="26" width="7.7109375" style="18" customWidth="1"/>
    <col min="27" max="27" width="13.7109375" style="18" customWidth="1"/>
    <col min="28" max="28" width="13.42578125" style="18" customWidth="1"/>
    <col min="29" max="29" width="10.7109375" style="18" customWidth="1"/>
    <col min="30" max="30" width="14.42578125" style="18" customWidth="1"/>
    <col min="31" max="31" width="15.85546875" style="18" customWidth="1"/>
    <col min="32" max="32" width="11.7109375" style="18" customWidth="1"/>
    <col min="33" max="33" width="11.5703125" style="18" customWidth="1"/>
    <col min="34" max="34" width="16.140625" style="18" customWidth="1"/>
    <col min="35" max="35" width="13.28515625" style="18" customWidth="1"/>
    <col min="36" max="36" width="15.42578125" style="18" customWidth="1"/>
    <col min="37" max="37" width="14.7109375" style="18" customWidth="1"/>
    <col min="38" max="38" width="12.28515625" style="18" customWidth="1"/>
    <col min="39" max="41" width="9.7109375" style="18" customWidth="1"/>
    <col min="42" max="42" width="14.5703125" style="18" customWidth="1"/>
    <col min="43" max="43" width="15.85546875"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65</v>
      </c>
    </row>
    <row r="2" spans="1:48" ht="18.75" x14ac:dyDescent="0.3">
      <c r="AV2" s="14" t="s">
        <v>7</v>
      </c>
    </row>
    <row r="3" spans="1:48" ht="18.75" x14ac:dyDescent="0.3">
      <c r="AV3" s="14" t="s">
        <v>64</v>
      </c>
    </row>
    <row r="4" spans="1:48" ht="18.75" x14ac:dyDescent="0.3">
      <c r="AV4" s="14"/>
    </row>
    <row r="5" spans="1:48" ht="18.75" customHeight="1" x14ac:dyDescent="0.25">
      <c r="A5" s="427" t="str">
        <f>'1. паспорт местоположение'!A5:C5</f>
        <v>Год раскрытия информации: 2025 год</v>
      </c>
      <c r="B5" s="427"/>
      <c r="C5" s="427"/>
      <c r="D5" s="427"/>
      <c r="E5" s="427"/>
      <c r="F5" s="427"/>
      <c r="G5" s="427"/>
      <c r="H5" s="427"/>
      <c r="I5" s="427"/>
      <c r="J5" s="427"/>
      <c r="K5" s="427"/>
      <c r="L5" s="427"/>
      <c r="M5" s="427"/>
      <c r="N5" s="427"/>
      <c r="O5" s="427"/>
      <c r="P5" s="427"/>
      <c r="Q5" s="427"/>
      <c r="R5" s="427"/>
      <c r="S5" s="427"/>
      <c r="T5" s="427"/>
      <c r="U5" s="427"/>
      <c r="V5" s="427"/>
      <c r="W5" s="427"/>
      <c r="X5" s="427"/>
      <c r="Y5" s="427"/>
      <c r="Z5" s="427"/>
      <c r="AA5" s="427"/>
      <c r="AB5" s="427"/>
      <c r="AC5" s="427"/>
      <c r="AD5" s="427"/>
      <c r="AE5" s="427"/>
      <c r="AF5" s="427"/>
      <c r="AG5" s="427"/>
      <c r="AH5" s="427"/>
      <c r="AI5" s="427"/>
      <c r="AJ5" s="427"/>
      <c r="AK5" s="427"/>
      <c r="AL5" s="427"/>
      <c r="AM5" s="427"/>
      <c r="AN5" s="427"/>
      <c r="AO5" s="427"/>
      <c r="AP5" s="427"/>
      <c r="AQ5" s="427"/>
      <c r="AR5" s="427"/>
      <c r="AS5" s="427"/>
      <c r="AT5" s="427"/>
      <c r="AU5" s="427"/>
      <c r="AV5" s="427"/>
    </row>
    <row r="6" spans="1:48" ht="18.75" x14ac:dyDescent="0.3">
      <c r="AV6" s="14"/>
    </row>
    <row r="7" spans="1:48" ht="18.75" x14ac:dyDescent="0.25">
      <c r="A7" s="431" t="s">
        <v>6</v>
      </c>
      <c r="B7" s="431"/>
      <c r="C7" s="431"/>
      <c r="D7" s="431"/>
      <c r="E7" s="431"/>
      <c r="F7" s="431"/>
      <c r="G7" s="431"/>
      <c r="H7" s="431"/>
      <c r="I7" s="431"/>
      <c r="J7" s="431"/>
      <c r="K7" s="431"/>
      <c r="L7" s="431"/>
      <c r="M7" s="431"/>
      <c r="N7" s="431"/>
      <c r="O7" s="431"/>
      <c r="P7" s="431"/>
      <c r="Q7" s="431"/>
      <c r="R7" s="431"/>
      <c r="S7" s="431"/>
      <c r="T7" s="431"/>
      <c r="U7" s="431"/>
      <c r="V7" s="431"/>
      <c r="W7" s="431"/>
      <c r="X7" s="431"/>
      <c r="Y7" s="431"/>
      <c r="Z7" s="431"/>
      <c r="AA7" s="431"/>
      <c r="AB7" s="431"/>
      <c r="AC7" s="431"/>
      <c r="AD7" s="431"/>
      <c r="AE7" s="431"/>
      <c r="AF7" s="431"/>
      <c r="AG7" s="431"/>
      <c r="AH7" s="431"/>
      <c r="AI7" s="431"/>
      <c r="AJ7" s="431"/>
      <c r="AK7" s="431"/>
      <c r="AL7" s="431"/>
      <c r="AM7" s="431"/>
      <c r="AN7" s="431"/>
      <c r="AO7" s="431"/>
      <c r="AP7" s="431"/>
      <c r="AQ7" s="431"/>
      <c r="AR7" s="431"/>
      <c r="AS7" s="431"/>
      <c r="AT7" s="431"/>
      <c r="AU7" s="431"/>
      <c r="AV7" s="431"/>
    </row>
    <row r="8" spans="1:48" ht="18.75" x14ac:dyDescent="0.25">
      <c r="A8" s="431"/>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431"/>
      <c r="AB8" s="431"/>
      <c r="AC8" s="431"/>
      <c r="AD8" s="431"/>
      <c r="AE8" s="431"/>
      <c r="AF8" s="431"/>
      <c r="AG8" s="431"/>
      <c r="AH8" s="431"/>
      <c r="AI8" s="431"/>
      <c r="AJ8" s="431"/>
      <c r="AK8" s="431"/>
      <c r="AL8" s="431"/>
      <c r="AM8" s="431"/>
      <c r="AN8" s="431"/>
      <c r="AO8" s="431"/>
      <c r="AP8" s="431"/>
      <c r="AQ8" s="431"/>
      <c r="AR8" s="431"/>
      <c r="AS8" s="431"/>
      <c r="AT8" s="431"/>
      <c r="AU8" s="431"/>
      <c r="AV8" s="431"/>
    </row>
    <row r="9" spans="1:48" ht="15.75" x14ac:dyDescent="0.25">
      <c r="A9" s="435" t="str">
        <f>'1. паспорт местоположение'!A9:C9</f>
        <v>Акционерное общество "Россети Янтарь" ДЗО  ПАО "Россети"</v>
      </c>
      <c r="B9" s="435"/>
      <c r="C9" s="435"/>
      <c r="D9" s="435"/>
      <c r="E9" s="435"/>
      <c r="F9" s="435"/>
      <c r="G9" s="435"/>
      <c r="H9" s="435"/>
      <c r="I9" s="435"/>
      <c r="J9" s="435"/>
      <c r="K9" s="435"/>
      <c r="L9" s="435"/>
      <c r="M9" s="435"/>
      <c r="N9" s="435"/>
      <c r="O9" s="435"/>
      <c r="P9" s="435"/>
      <c r="Q9" s="435"/>
      <c r="R9" s="435"/>
      <c r="S9" s="435"/>
      <c r="T9" s="435"/>
      <c r="U9" s="435"/>
      <c r="V9" s="435"/>
      <c r="W9" s="435"/>
      <c r="X9" s="435"/>
      <c r="Y9" s="435"/>
      <c r="Z9" s="435"/>
      <c r="AA9" s="435"/>
      <c r="AB9" s="435"/>
      <c r="AC9" s="435"/>
      <c r="AD9" s="435"/>
      <c r="AE9" s="435"/>
      <c r="AF9" s="435"/>
      <c r="AG9" s="435"/>
      <c r="AH9" s="435"/>
      <c r="AI9" s="435"/>
      <c r="AJ9" s="435"/>
      <c r="AK9" s="435"/>
      <c r="AL9" s="435"/>
      <c r="AM9" s="435"/>
      <c r="AN9" s="435"/>
      <c r="AO9" s="435"/>
      <c r="AP9" s="435"/>
      <c r="AQ9" s="435"/>
      <c r="AR9" s="435"/>
      <c r="AS9" s="435"/>
      <c r="AT9" s="435"/>
      <c r="AU9" s="435"/>
      <c r="AV9" s="435"/>
    </row>
    <row r="10" spans="1:48" ht="15.75" x14ac:dyDescent="0.25">
      <c r="A10" s="428" t="s">
        <v>5</v>
      </c>
      <c r="B10" s="428"/>
      <c r="C10" s="428"/>
      <c r="D10" s="428"/>
      <c r="E10" s="428"/>
      <c r="F10" s="428"/>
      <c r="G10" s="428"/>
      <c r="H10" s="428"/>
      <c r="I10" s="428"/>
      <c r="J10" s="428"/>
      <c r="K10" s="428"/>
      <c r="L10" s="428"/>
      <c r="M10" s="428"/>
      <c r="N10" s="428"/>
      <c r="O10" s="428"/>
      <c r="P10" s="428"/>
      <c r="Q10" s="428"/>
      <c r="R10" s="428"/>
      <c r="S10" s="428"/>
      <c r="T10" s="428"/>
      <c r="U10" s="428"/>
      <c r="V10" s="428"/>
      <c r="W10" s="428"/>
      <c r="X10" s="428"/>
      <c r="Y10" s="428"/>
      <c r="Z10" s="428"/>
      <c r="AA10" s="428"/>
      <c r="AB10" s="428"/>
      <c r="AC10" s="428"/>
      <c r="AD10" s="428"/>
      <c r="AE10" s="428"/>
      <c r="AF10" s="428"/>
      <c r="AG10" s="428"/>
      <c r="AH10" s="428"/>
      <c r="AI10" s="428"/>
      <c r="AJ10" s="428"/>
      <c r="AK10" s="428"/>
      <c r="AL10" s="428"/>
      <c r="AM10" s="428"/>
      <c r="AN10" s="428"/>
      <c r="AO10" s="428"/>
      <c r="AP10" s="428"/>
      <c r="AQ10" s="428"/>
      <c r="AR10" s="428"/>
      <c r="AS10" s="428"/>
      <c r="AT10" s="428"/>
      <c r="AU10" s="428"/>
      <c r="AV10" s="428"/>
    </row>
    <row r="11" spans="1:48" ht="18.75" x14ac:dyDescent="0.25">
      <c r="A11" s="431"/>
      <c r="B11" s="431"/>
      <c r="C11" s="431"/>
      <c r="D11" s="431"/>
      <c r="E11" s="431"/>
      <c r="F11" s="431"/>
      <c r="G11" s="431"/>
      <c r="H11" s="431"/>
      <c r="I11" s="431"/>
      <c r="J11" s="431"/>
      <c r="K11" s="431"/>
      <c r="L11" s="431"/>
      <c r="M11" s="431"/>
      <c r="N11" s="431"/>
      <c r="O11" s="431"/>
      <c r="P11" s="431"/>
      <c r="Q11" s="431"/>
      <c r="R11" s="431"/>
      <c r="S11" s="431"/>
      <c r="T11" s="431"/>
      <c r="U11" s="431"/>
      <c r="V11" s="431"/>
      <c r="W11" s="431"/>
      <c r="X11" s="431"/>
      <c r="Y11" s="431"/>
      <c r="Z11" s="431"/>
      <c r="AA11" s="431"/>
      <c r="AB11" s="431"/>
      <c r="AC11" s="431"/>
      <c r="AD11" s="431"/>
      <c r="AE11" s="431"/>
      <c r="AF11" s="431"/>
      <c r="AG11" s="431"/>
      <c r="AH11" s="431"/>
      <c r="AI11" s="431"/>
      <c r="AJ11" s="431"/>
      <c r="AK11" s="431"/>
      <c r="AL11" s="431"/>
      <c r="AM11" s="431"/>
      <c r="AN11" s="431"/>
      <c r="AO11" s="431"/>
      <c r="AP11" s="431"/>
      <c r="AQ11" s="431"/>
      <c r="AR11" s="431"/>
      <c r="AS11" s="431"/>
      <c r="AT11" s="431"/>
      <c r="AU11" s="431"/>
      <c r="AV11" s="431"/>
    </row>
    <row r="12" spans="1:48" ht="15.75" x14ac:dyDescent="0.25">
      <c r="A12" s="435" t="str">
        <f>'1. паспорт местоположение'!A12:C12</f>
        <v>N_19-1035-1</v>
      </c>
      <c r="B12" s="435"/>
      <c r="C12" s="435"/>
      <c r="D12" s="435"/>
      <c r="E12" s="435"/>
      <c r="F12" s="435"/>
      <c r="G12" s="435"/>
      <c r="H12" s="435"/>
      <c r="I12" s="435"/>
      <c r="J12" s="435"/>
      <c r="K12" s="435"/>
      <c r="L12" s="435"/>
      <c r="M12" s="435"/>
      <c r="N12" s="435"/>
      <c r="O12" s="435"/>
      <c r="P12" s="435"/>
      <c r="Q12" s="435"/>
      <c r="R12" s="435"/>
      <c r="S12" s="435"/>
      <c r="T12" s="435"/>
      <c r="U12" s="435"/>
      <c r="V12" s="435"/>
      <c r="W12" s="435"/>
      <c r="X12" s="435"/>
      <c r="Y12" s="435"/>
      <c r="Z12" s="435"/>
      <c r="AA12" s="435"/>
      <c r="AB12" s="435"/>
      <c r="AC12" s="435"/>
      <c r="AD12" s="435"/>
      <c r="AE12" s="435"/>
      <c r="AF12" s="435"/>
      <c r="AG12" s="435"/>
      <c r="AH12" s="435"/>
      <c r="AI12" s="435"/>
      <c r="AJ12" s="435"/>
      <c r="AK12" s="435"/>
      <c r="AL12" s="435"/>
      <c r="AM12" s="435"/>
      <c r="AN12" s="435"/>
      <c r="AO12" s="435"/>
      <c r="AP12" s="435"/>
      <c r="AQ12" s="435"/>
      <c r="AR12" s="435"/>
      <c r="AS12" s="435"/>
      <c r="AT12" s="435"/>
      <c r="AU12" s="435"/>
      <c r="AV12" s="435"/>
    </row>
    <row r="13" spans="1:48" ht="15.75" x14ac:dyDescent="0.25">
      <c r="A13" s="428" t="s">
        <v>4</v>
      </c>
      <c r="B13" s="428"/>
      <c r="C13" s="428"/>
      <c r="D13" s="428"/>
      <c r="E13" s="428"/>
      <c r="F13" s="428"/>
      <c r="G13" s="428"/>
      <c r="H13" s="428"/>
      <c r="I13" s="428"/>
      <c r="J13" s="428"/>
      <c r="K13" s="428"/>
      <c r="L13" s="428"/>
      <c r="M13" s="428"/>
      <c r="N13" s="428"/>
      <c r="O13" s="428"/>
      <c r="P13" s="428"/>
      <c r="Q13" s="428"/>
      <c r="R13" s="428"/>
      <c r="S13" s="428"/>
      <c r="T13" s="428"/>
      <c r="U13" s="428"/>
      <c r="V13" s="428"/>
      <c r="W13" s="428"/>
      <c r="X13" s="428"/>
      <c r="Y13" s="428"/>
      <c r="Z13" s="428"/>
      <c r="AA13" s="428"/>
      <c r="AB13" s="428"/>
      <c r="AC13" s="428"/>
      <c r="AD13" s="428"/>
      <c r="AE13" s="428"/>
      <c r="AF13" s="428"/>
      <c r="AG13" s="428"/>
      <c r="AH13" s="428"/>
      <c r="AI13" s="428"/>
      <c r="AJ13" s="428"/>
      <c r="AK13" s="428"/>
      <c r="AL13" s="428"/>
      <c r="AM13" s="428"/>
      <c r="AN13" s="428"/>
      <c r="AO13" s="428"/>
      <c r="AP13" s="428"/>
      <c r="AQ13" s="428"/>
      <c r="AR13" s="428"/>
      <c r="AS13" s="428"/>
      <c r="AT13" s="428"/>
      <c r="AU13" s="428"/>
      <c r="AV13" s="428"/>
    </row>
    <row r="14" spans="1:48" ht="18.75" x14ac:dyDescent="0.25">
      <c r="A14" s="439"/>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c r="AD14" s="439"/>
      <c r="AE14" s="439"/>
      <c r="AF14" s="439"/>
      <c r="AG14" s="439"/>
      <c r="AH14" s="439"/>
      <c r="AI14" s="439"/>
      <c r="AJ14" s="439"/>
      <c r="AK14" s="439"/>
      <c r="AL14" s="439"/>
      <c r="AM14" s="439"/>
      <c r="AN14" s="439"/>
      <c r="AO14" s="439"/>
      <c r="AP14" s="439"/>
      <c r="AQ14" s="439"/>
      <c r="AR14" s="439"/>
      <c r="AS14" s="439"/>
      <c r="AT14" s="439"/>
      <c r="AU14" s="439"/>
      <c r="AV14" s="439"/>
    </row>
    <row r="15" spans="1:48" ht="15.75" x14ac:dyDescent="0.25">
      <c r="A15" s="440" t="str">
        <f>'1. паспорт местоположение'!A15:C15</f>
        <v>Реконструкция ЛЭП 0,23 кВ с переводом на напряжение 0,4 кВ: демонтаж ЛЭП 0,23 кВ протяженностью 1,055 км, строительство ЛЭП 0,4 кВ протяженностью 1,493 км, демонтаж ТП 6/0,23 кВ ТП-73 мощностью 0,15 МВА, демонтаж трансформатора 6/0,23 кВ  0,185 МВА в РП-VI, дооборудование резервной ячейки в РП-VI вакуумным выключателем 6 кВ и строительство 0,506 км кабельных линий 6 кВ в г. Калининграде</v>
      </c>
      <c r="B15" s="440"/>
      <c r="C15" s="440"/>
      <c r="D15" s="440"/>
      <c r="E15" s="440"/>
      <c r="F15" s="440"/>
      <c r="G15" s="440"/>
      <c r="H15" s="440"/>
      <c r="I15" s="440"/>
      <c r="J15" s="440"/>
      <c r="K15" s="440"/>
      <c r="L15" s="440"/>
      <c r="M15" s="440"/>
      <c r="N15" s="440"/>
      <c r="O15" s="440"/>
      <c r="P15" s="440"/>
      <c r="Q15" s="440"/>
      <c r="R15" s="440"/>
      <c r="S15" s="440"/>
      <c r="T15" s="440"/>
      <c r="U15" s="440"/>
      <c r="V15" s="440"/>
      <c r="W15" s="440"/>
      <c r="X15" s="440"/>
      <c r="Y15" s="440"/>
      <c r="Z15" s="440"/>
      <c r="AA15" s="440"/>
      <c r="AB15" s="440"/>
      <c r="AC15" s="440"/>
      <c r="AD15" s="440"/>
      <c r="AE15" s="440"/>
      <c r="AF15" s="440"/>
      <c r="AG15" s="440"/>
      <c r="AH15" s="440"/>
      <c r="AI15" s="440"/>
      <c r="AJ15" s="440"/>
      <c r="AK15" s="440"/>
      <c r="AL15" s="440"/>
      <c r="AM15" s="440"/>
      <c r="AN15" s="440"/>
      <c r="AO15" s="440"/>
      <c r="AP15" s="440"/>
      <c r="AQ15" s="440"/>
      <c r="AR15" s="440"/>
      <c r="AS15" s="440"/>
      <c r="AT15" s="440"/>
      <c r="AU15" s="440"/>
      <c r="AV15" s="440"/>
    </row>
    <row r="16" spans="1:48" ht="15.75" x14ac:dyDescent="0.25">
      <c r="A16" s="428" t="s">
        <v>3</v>
      </c>
      <c r="B16" s="428"/>
      <c r="C16" s="428"/>
      <c r="D16" s="428"/>
      <c r="E16" s="428"/>
      <c r="F16" s="428"/>
      <c r="G16" s="428"/>
      <c r="H16" s="428"/>
      <c r="I16" s="428"/>
      <c r="J16" s="428"/>
      <c r="K16" s="428"/>
      <c r="L16" s="428"/>
      <c r="M16" s="428"/>
      <c r="N16" s="428"/>
      <c r="O16" s="428"/>
      <c r="P16" s="428"/>
      <c r="Q16" s="428"/>
      <c r="R16" s="428"/>
      <c r="S16" s="428"/>
      <c r="T16" s="428"/>
      <c r="U16" s="428"/>
      <c r="V16" s="428"/>
      <c r="W16" s="428"/>
      <c r="X16" s="428"/>
      <c r="Y16" s="428"/>
      <c r="Z16" s="428"/>
      <c r="AA16" s="428"/>
      <c r="AB16" s="428"/>
      <c r="AC16" s="428"/>
      <c r="AD16" s="428"/>
      <c r="AE16" s="428"/>
      <c r="AF16" s="428"/>
      <c r="AG16" s="428"/>
      <c r="AH16" s="428"/>
      <c r="AI16" s="428"/>
      <c r="AJ16" s="428"/>
      <c r="AK16" s="428"/>
      <c r="AL16" s="428"/>
      <c r="AM16" s="428"/>
      <c r="AN16" s="428"/>
      <c r="AO16" s="428"/>
      <c r="AP16" s="428"/>
      <c r="AQ16" s="428"/>
      <c r="AR16" s="428"/>
      <c r="AS16" s="428"/>
      <c r="AT16" s="428"/>
      <c r="AU16" s="428"/>
      <c r="AV16" s="428"/>
    </row>
    <row r="17" spans="1:48" x14ac:dyDescent="0.25">
      <c r="A17" s="479"/>
      <c r="B17" s="479"/>
      <c r="C17" s="479"/>
      <c r="D17" s="479"/>
      <c r="E17" s="479"/>
      <c r="F17" s="479"/>
      <c r="G17" s="479"/>
      <c r="H17" s="479"/>
      <c r="I17" s="479"/>
      <c r="J17" s="479"/>
      <c r="K17" s="479"/>
      <c r="L17" s="479"/>
      <c r="M17" s="479"/>
      <c r="N17" s="479"/>
      <c r="O17" s="479"/>
      <c r="P17" s="479"/>
      <c r="Q17" s="479"/>
      <c r="R17" s="479"/>
      <c r="S17" s="479"/>
      <c r="T17" s="479"/>
      <c r="U17" s="479"/>
      <c r="V17" s="479"/>
      <c r="W17" s="479"/>
      <c r="X17" s="479"/>
      <c r="Y17" s="479"/>
      <c r="Z17" s="479"/>
      <c r="AA17" s="479"/>
      <c r="AB17" s="479"/>
      <c r="AC17" s="479"/>
      <c r="AD17" s="479"/>
      <c r="AE17" s="479"/>
      <c r="AF17" s="479"/>
      <c r="AG17" s="479"/>
      <c r="AH17" s="479"/>
      <c r="AI17" s="479"/>
      <c r="AJ17" s="479"/>
      <c r="AK17" s="479"/>
      <c r="AL17" s="479"/>
      <c r="AM17" s="479"/>
      <c r="AN17" s="479"/>
      <c r="AO17" s="479"/>
      <c r="AP17" s="479"/>
      <c r="AQ17" s="479"/>
      <c r="AR17" s="479"/>
      <c r="AS17" s="479"/>
      <c r="AT17" s="479"/>
      <c r="AU17" s="479"/>
      <c r="AV17" s="479"/>
    </row>
    <row r="18" spans="1:48" ht="14.25" customHeight="1" x14ac:dyDescent="0.25">
      <c r="A18" s="479"/>
      <c r="B18" s="479"/>
      <c r="C18" s="479"/>
      <c r="D18" s="479"/>
      <c r="E18" s="479"/>
      <c r="F18" s="479"/>
      <c r="G18" s="479"/>
      <c r="H18" s="479"/>
      <c r="I18" s="479"/>
      <c r="J18" s="479"/>
      <c r="K18" s="479"/>
      <c r="L18" s="479"/>
      <c r="M18" s="479"/>
      <c r="N18" s="479"/>
      <c r="O18" s="479"/>
      <c r="P18" s="479"/>
      <c r="Q18" s="479"/>
      <c r="R18" s="479"/>
      <c r="S18" s="479"/>
      <c r="T18" s="479"/>
      <c r="U18" s="479"/>
      <c r="V18" s="479"/>
      <c r="W18" s="479"/>
      <c r="X18" s="479"/>
      <c r="Y18" s="479"/>
      <c r="Z18" s="479"/>
      <c r="AA18" s="479"/>
      <c r="AB18" s="479"/>
      <c r="AC18" s="479"/>
      <c r="AD18" s="479"/>
      <c r="AE18" s="479"/>
      <c r="AF18" s="479"/>
      <c r="AG18" s="479"/>
      <c r="AH18" s="479"/>
      <c r="AI18" s="479"/>
      <c r="AJ18" s="479"/>
      <c r="AK18" s="479"/>
      <c r="AL18" s="479"/>
      <c r="AM18" s="479"/>
      <c r="AN18" s="479"/>
      <c r="AO18" s="479"/>
      <c r="AP18" s="479"/>
      <c r="AQ18" s="479"/>
      <c r="AR18" s="479"/>
      <c r="AS18" s="479"/>
      <c r="AT18" s="479"/>
      <c r="AU18" s="479"/>
      <c r="AV18" s="479"/>
    </row>
    <row r="19" spans="1:48" x14ac:dyDescent="0.25">
      <c r="A19" s="479"/>
      <c r="B19" s="479"/>
      <c r="C19" s="479"/>
      <c r="D19" s="479"/>
      <c r="E19" s="479"/>
      <c r="F19" s="479"/>
      <c r="G19" s="479"/>
      <c r="H19" s="479"/>
      <c r="I19" s="479"/>
      <c r="J19" s="479"/>
      <c r="K19" s="479"/>
      <c r="L19" s="479"/>
      <c r="M19" s="479"/>
      <c r="N19" s="479"/>
      <c r="O19" s="479"/>
      <c r="P19" s="479"/>
      <c r="Q19" s="479"/>
      <c r="R19" s="479"/>
      <c r="S19" s="479"/>
      <c r="T19" s="479"/>
      <c r="U19" s="479"/>
      <c r="V19" s="479"/>
      <c r="W19" s="479"/>
      <c r="X19" s="479"/>
      <c r="Y19" s="479"/>
      <c r="Z19" s="479"/>
      <c r="AA19" s="479"/>
      <c r="AB19" s="479"/>
      <c r="AC19" s="479"/>
      <c r="AD19" s="479"/>
      <c r="AE19" s="479"/>
      <c r="AF19" s="479"/>
      <c r="AG19" s="479"/>
      <c r="AH19" s="479"/>
      <c r="AI19" s="479"/>
      <c r="AJ19" s="479"/>
      <c r="AK19" s="479"/>
      <c r="AL19" s="479"/>
      <c r="AM19" s="479"/>
      <c r="AN19" s="479"/>
      <c r="AO19" s="479"/>
      <c r="AP19" s="479"/>
      <c r="AQ19" s="479"/>
      <c r="AR19" s="479"/>
      <c r="AS19" s="479"/>
      <c r="AT19" s="479"/>
      <c r="AU19" s="479"/>
      <c r="AV19" s="479"/>
    </row>
    <row r="20" spans="1:48" s="21" customFormat="1" x14ac:dyDescent="0.25">
      <c r="A20" s="480"/>
      <c r="B20" s="480"/>
      <c r="C20" s="480"/>
      <c r="D20" s="480"/>
      <c r="E20" s="480"/>
      <c r="F20" s="480"/>
      <c r="G20" s="480"/>
      <c r="H20" s="480"/>
      <c r="I20" s="480"/>
      <c r="J20" s="480"/>
      <c r="K20" s="480"/>
      <c r="L20" s="480"/>
      <c r="M20" s="480"/>
      <c r="N20" s="480"/>
      <c r="O20" s="480"/>
      <c r="P20" s="480"/>
      <c r="Q20" s="480"/>
      <c r="R20" s="480"/>
      <c r="S20" s="480"/>
      <c r="T20" s="480"/>
      <c r="U20" s="480"/>
      <c r="V20" s="480"/>
      <c r="W20" s="480"/>
      <c r="X20" s="480"/>
      <c r="Y20" s="480"/>
      <c r="Z20" s="480"/>
      <c r="AA20" s="480"/>
      <c r="AB20" s="480"/>
      <c r="AC20" s="480"/>
      <c r="AD20" s="480"/>
      <c r="AE20" s="480"/>
      <c r="AF20" s="480"/>
      <c r="AG20" s="480"/>
      <c r="AH20" s="480"/>
      <c r="AI20" s="480"/>
      <c r="AJ20" s="480"/>
      <c r="AK20" s="480"/>
      <c r="AL20" s="480"/>
      <c r="AM20" s="480"/>
      <c r="AN20" s="480"/>
      <c r="AO20" s="480"/>
      <c r="AP20" s="480"/>
      <c r="AQ20" s="480"/>
      <c r="AR20" s="480"/>
      <c r="AS20" s="480"/>
      <c r="AT20" s="480"/>
      <c r="AU20" s="480"/>
      <c r="AV20" s="480"/>
    </row>
    <row r="21" spans="1:48" s="21" customFormat="1" x14ac:dyDescent="0.25">
      <c r="A21" s="545" t="s">
        <v>404</v>
      </c>
      <c r="B21" s="545"/>
      <c r="C21" s="545"/>
      <c r="D21" s="545"/>
      <c r="E21" s="545"/>
      <c r="F21" s="545"/>
      <c r="G21" s="545"/>
      <c r="H21" s="545"/>
      <c r="I21" s="545"/>
      <c r="J21" s="545"/>
      <c r="K21" s="545"/>
      <c r="L21" s="545"/>
      <c r="M21" s="545"/>
      <c r="N21" s="545"/>
      <c r="O21" s="545"/>
      <c r="P21" s="545"/>
      <c r="Q21" s="545"/>
      <c r="R21" s="545"/>
      <c r="S21" s="545"/>
      <c r="T21" s="545"/>
      <c r="U21" s="545"/>
      <c r="V21" s="545"/>
      <c r="W21" s="545"/>
      <c r="X21" s="545"/>
      <c r="Y21" s="545"/>
      <c r="Z21" s="545"/>
      <c r="AA21" s="545"/>
      <c r="AB21" s="545"/>
      <c r="AC21" s="545"/>
      <c r="AD21" s="545"/>
      <c r="AE21" s="545"/>
      <c r="AF21" s="545"/>
      <c r="AG21" s="545"/>
      <c r="AH21" s="545"/>
      <c r="AI21" s="545"/>
      <c r="AJ21" s="545"/>
      <c r="AK21" s="545"/>
      <c r="AL21" s="545"/>
      <c r="AM21" s="545"/>
      <c r="AN21" s="545"/>
      <c r="AO21" s="545"/>
      <c r="AP21" s="545"/>
      <c r="AQ21" s="545"/>
      <c r="AR21" s="545"/>
      <c r="AS21" s="545"/>
      <c r="AT21" s="545"/>
      <c r="AU21" s="545"/>
      <c r="AV21" s="545"/>
    </row>
    <row r="22" spans="1:48" s="21" customFormat="1" ht="58.5" customHeight="1" x14ac:dyDescent="0.25">
      <c r="A22" s="536" t="s">
        <v>49</v>
      </c>
      <c r="B22" s="547" t="s">
        <v>21</v>
      </c>
      <c r="C22" s="536" t="s">
        <v>48</v>
      </c>
      <c r="D22" s="536" t="s">
        <v>47</v>
      </c>
      <c r="E22" s="550" t="s">
        <v>415</v>
      </c>
      <c r="F22" s="551"/>
      <c r="G22" s="551"/>
      <c r="H22" s="551"/>
      <c r="I22" s="551"/>
      <c r="J22" s="551"/>
      <c r="K22" s="551"/>
      <c r="L22" s="552"/>
      <c r="M22" s="536" t="s">
        <v>46</v>
      </c>
      <c r="N22" s="536" t="s">
        <v>45</v>
      </c>
      <c r="O22" s="536" t="s">
        <v>44</v>
      </c>
      <c r="P22" s="531" t="s">
        <v>212</v>
      </c>
      <c r="Q22" s="531" t="s">
        <v>43</v>
      </c>
      <c r="R22" s="531" t="s">
        <v>42</v>
      </c>
      <c r="S22" s="531" t="s">
        <v>41</v>
      </c>
      <c r="T22" s="531"/>
      <c r="U22" s="553" t="s">
        <v>40</v>
      </c>
      <c r="V22" s="553" t="s">
        <v>39</v>
      </c>
      <c r="W22" s="531" t="s">
        <v>38</v>
      </c>
      <c r="X22" s="531" t="s">
        <v>37</v>
      </c>
      <c r="Y22" s="531" t="s">
        <v>36</v>
      </c>
      <c r="Z22" s="538" t="s">
        <v>35</v>
      </c>
      <c r="AA22" s="531" t="s">
        <v>34</v>
      </c>
      <c r="AB22" s="531" t="s">
        <v>33</v>
      </c>
      <c r="AC22" s="531" t="s">
        <v>32</v>
      </c>
      <c r="AD22" s="531" t="s">
        <v>31</v>
      </c>
      <c r="AE22" s="531" t="s">
        <v>30</v>
      </c>
      <c r="AF22" s="531" t="s">
        <v>29</v>
      </c>
      <c r="AG22" s="531"/>
      <c r="AH22" s="531"/>
      <c r="AI22" s="531"/>
      <c r="AJ22" s="531"/>
      <c r="AK22" s="531"/>
      <c r="AL22" s="531" t="s">
        <v>28</v>
      </c>
      <c r="AM22" s="531"/>
      <c r="AN22" s="531"/>
      <c r="AO22" s="531"/>
      <c r="AP22" s="531" t="s">
        <v>27</v>
      </c>
      <c r="AQ22" s="531"/>
      <c r="AR22" s="531" t="s">
        <v>26</v>
      </c>
      <c r="AS22" s="531" t="s">
        <v>25</v>
      </c>
      <c r="AT22" s="531" t="s">
        <v>24</v>
      </c>
      <c r="AU22" s="531" t="s">
        <v>23</v>
      </c>
      <c r="AV22" s="539" t="s">
        <v>22</v>
      </c>
    </row>
    <row r="23" spans="1:48" s="21" customFormat="1" ht="64.5" customHeight="1" x14ac:dyDescent="0.25">
      <c r="A23" s="546"/>
      <c r="B23" s="548"/>
      <c r="C23" s="546"/>
      <c r="D23" s="546"/>
      <c r="E23" s="541" t="s">
        <v>20</v>
      </c>
      <c r="F23" s="532" t="s">
        <v>124</v>
      </c>
      <c r="G23" s="532" t="s">
        <v>123</v>
      </c>
      <c r="H23" s="532" t="s">
        <v>122</v>
      </c>
      <c r="I23" s="534" t="s">
        <v>351</v>
      </c>
      <c r="J23" s="534" t="s">
        <v>352</v>
      </c>
      <c r="K23" s="534" t="s">
        <v>353</v>
      </c>
      <c r="L23" s="532" t="s">
        <v>73</v>
      </c>
      <c r="M23" s="546"/>
      <c r="N23" s="546"/>
      <c r="O23" s="546"/>
      <c r="P23" s="531"/>
      <c r="Q23" s="531"/>
      <c r="R23" s="531"/>
      <c r="S23" s="543" t="s">
        <v>1</v>
      </c>
      <c r="T23" s="543" t="s">
        <v>8</v>
      </c>
      <c r="U23" s="553"/>
      <c r="V23" s="553"/>
      <c r="W23" s="531"/>
      <c r="X23" s="531"/>
      <c r="Y23" s="531"/>
      <c r="Z23" s="531"/>
      <c r="AA23" s="531"/>
      <c r="AB23" s="531"/>
      <c r="AC23" s="531"/>
      <c r="AD23" s="531"/>
      <c r="AE23" s="531"/>
      <c r="AF23" s="531" t="s">
        <v>19</v>
      </c>
      <c r="AG23" s="531"/>
      <c r="AH23" s="531" t="s">
        <v>18</v>
      </c>
      <c r="AI23" s="531"/>
      <c r="AJ23" s="536" t="s">
        <v>17</v>
      </c>
      <c r="AK23" s="536" t="s">
        <v>16</v>
      </c>
      <c r="AL23" s="536" t="s">
        <v>15</v>
      </c>
      <c r="AM23" s="536" t="s">
        <v>14</v>
      </c>
      <c r="AN23" s="536" t="s">
        <v>13</v>
      </c>
      <c r="AO23" s="536" t="s">
        <v>12</v>
      </c>
      <c r="AP23" s="536" t="s">
        <v>11</v>
      </c>
      <c r="AQ23" s="554" t="s">
        <v>8</v>
      </c>
      <c r="AR23" s="531"/>
      <c r="AS23" s="531"/>
      <c r="AT23" s="531"/>
      <c r="AU23" s="531"/>
      <c r="AV23" s="540"/>
    </row>
    <row r="24" spans="1:48" s="21" customFormat="1" ht="96.75" customHeight="1" x14ac:dyDescent="0.25">
      <c r="A24" s="537"/>
      <c r="B24" s="549"/>
      <c r="C24" s="537"/>
      <c r="D24" s="537"/>
      <c r="E24" s="542"/>
      <c r="F24" s="533"/>
      <c r="G24" s="533"/>
      <c r="H24" s="533"/>
      <c r="I24" s="535"/>
      <c r="J24" s="535"/>
      <c r="K24" s="535"/>
      <c r="L24" s="533"/>
      <c r="M24" s="537"/>
      <c r="N24" s="537"/>
      <c r="O24" s="537"/>
      <c r="P24" s="531"/>
      <c r="Q24" s="531"/>
      <c r="R24" s="531"/>
      <c r="S24" s="544"/>
      <c r="T24" s="544"/>
      <c r="U24" s="553"/>
      <c r="V24" s="553"/>
      <c r="W24" s="531"/>
      <c r="X24" s="531"/>
      <c r="Y24" s="531"/>
      <c r="Z24" s="531"/>
      <c r="AA24" s="531"/>
      <c r="AB24" s="531"/>
      <c r="AC24" s="531"/>
      <c r="AD24" s="531"/>
      <c r="AE24" s="531"/>
      <c r="AF24" s="88" t="s">
        <v>10</v>
      </c>
      <c r="AG24" s="88" t="s">
        <v>9</v>
      </c>
      <c r="AH24" s="89" t="s">
        <v>1</v>
      </c>
      <c r="AI24" s="89" t="s">
        <v>8</v>
      </c>
      <c r="AJ24" s="537"/>
      <c r="AK24" s="537"/>
      <c r="AL24" s="537"/>
      <c r="AM24" s="537"/>
      <c r="AN24" s="537"/>
      <c r="AO24" s="537"/>
      <c r="AP24" s="537"/>
      <c r="AQ24" s="555"/>
      <c r="AR24" s="531"/>
      <c r="AS24" s="531"/>
      <c r="AT24" s="531"/>
      <c r="AU24" s="531"/>
      <c r="AV24" s="540"/>
    </row>
    <row r="25" spans="1:48" s="19"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228" customFormat="1" ht="120" x14ac:dyDescent="0.2">
      <c r="A26" s="222">
        <v>1</v>
      </c>
      <c r="B26" s="223" t="s">
        <v>513</v>
      </c>
      <c r="C26" s="223" t="s">
        <v>61</v>
      </c>
      <c r="D26" s="224">
        <f>'6.1. Паспорт сетевой график'!F53</f>
        <v>45654</v>
      </c>
      <c r="E26" s="277"/>
      <c r="F26" s="277"/>
      <c r="G26" s="277"/>
      <c r="H26" s="277"/>
      <c r="I26" s="277"/>
      <c r="J26" s="277"/>
      <c r="K26" s="277">
        <f>'6.2. Паспорт фин осв ввод '!D41</f>
        <v>0</v>
      </c>
      <c r="L26" s="277"/>
      <c r="M26" s="318" t="s">
        <v>555</v>
      </c>
      <c r="N26" s="319" t="s">
        <v>556</v>
      </c>
      <c r="O26" s="320" t="s">
        <v>557</v>
      </c>
      <c r="P26" s="321">
        <v>5222.7</v>
      </c>
      <c r="Q26" s="320" t="s">
        <v>558</v>
      </c>
      <c r="R26" s="321">
        <v>5222.7</v>
      </c>
      <c r="S26" s="320" t="s">
        <v>559</v>
      </c>
      <c r="T26" s="320" t="s">
        <v>560</v>
      </c>
      <c r="U26" s="322" t="s">
        <v>60</v>
      </c>
      <c r="V26" s="322" t="s">
        <v>60</v>
      </c>
      <c r="W26" s="320" t="s">
        <v>561</v>
      </c>
      <c r="X26" s="321">
        <v>5118.24</v>
      </c>
      <c r="Y26" s="322"/>
      <c r="Z26" s="322" t="s">
        <v>61</v>
      </c>
      <c r="AA26" s="321">
        <v>5118.24</v>
      </c>
      <c r="AB26" s="321">
        <v>5118.24</v>
      </c>
      <c r="AC26" s="320" t="s">
        <v>561</v>
      </c>
      <c r="AD26" s="321">
        <f>'8. Общие сведения'!B67*1000</f>
        <v>74.788269999999997</v>
      </c>
      <c r="AE26" s="321">
        <f>AD26</f>
        <v>74.788269999999997</v>
      </c>
      <c r="AF26" s="320" t="s">
        <v>562</v>
      </c>
      <c r="AG26" s="323" t="s">
        <v>563</v>
      </c>
      <c r="AH26" s="324">
        <v>43896</v>
      </c>
      <c r="AI26" s="324">
        <v>43896</v>
      </c>
      <c r="AJ26" s="324">
        <v>43941</v>
      </c>
      <c r="AK26" s="324">
        <v>43951</v>
      </c>
      <c r="AL26" s="322"/>
      <c r="AM26" s="322"/>
      <c r="AN26" s="322"/>
      <c r="AO26" s="322"/>
      <c r="AP26" s="322" t="s">
        <v>564</v>
      </c>
      <c r="AQ26" s="322" t="s">
        <v>564</v>
      </c>
      <c r="AR26" s="322" t="s">
        <v>564</v>
      </c>
      <c r="AS26" s="322" t="s">
        <v>564</v>
      </c>
      <c r="AT26" s="324">
        <v>44377</v>
      </c>
      <c r="AU26" s="322"/>
      <c r="AV26" s="320" t="s">
        <v>565</v>
      </c>
    </row>
    <row r="27" spans="1:48" s="21" customFormat="1" x14ac:dyDescent="0.25">
      <c r="A27" s="229"/>
      <c r="B27" s="229"/>
      <c r="C27" s="229"/>
      <c r="D27" s="229"/>
      <c r="E27" s="229"/>
      <c r="F27" s="229"/>
      <c r="G27" s="229"/>
      <c r="H27" s="229"/>
      <c r="I27" s="229"/>
      <c r="J27" s="229"/>
      <c r="K27" s="229"/>
      <c r="L27" s="229"/>
      <c r="M27" s="322"/>
      <c r="N27" s="319"/>
      <c r="O27" s="320"/>
      <c r="P27" s="321"/>
      <c r="Q27" s="320"/>
      <c r="R27" s="321"/>
      <c r="S27" s="320"/>
      <c r="T27" s="320"/>
      <c r="U27" s="322"/>
      <c r="V27" s="322"/>
      <c r="W27" s="320" t="s">
        <v>566</v>
      </c>
      <c r="X27" s="321">
        <v>5170.47</v>
      </c>
      <c r="Y27" s="322"/>
      <c r="Z27" s="322"/>
      <c r="AA27" s="321">
        <v>5170.47</v>
      </c>
      <c r="AB27" s="321"/>
      <c r="AC27" s="320"/>
      <c r="AD27" s="325"/>
      <c r="AE27" s="321"/>
      <c r="AF27" s="320"/>
      <c r="AG27" s="326"/>
      <c r="AH27" s="324"/>
      <c r="AI27" s="324"/>
      <c r="AJ27" s="324"/>
      <c r="AK27" s="324"/>
      <c r="AL27" s="322"/>
      <c r="AM27" s="322"/>
      <c r="AN27" s="322"/>
      <c r="AO27" s="322"/>
      <c r="AP27" s="322"/>
      <c r="AQ27" s="322"/>
      <c r="AR27" s="322"/>
      <c r="AS27" s="322"/>
      <c r="AT27" s="322"/>
      <c r="AU27" s="322"/>
      <c r="AV27" s="320"/>
    </row>
    <row r="28" spans="1:48" s="228" customFormat="1" ht="150" x14ac:dyDescent="0.2">
      <c r="A28" s="222">
        <v>2</v>
      </c>
      <c r="B28" s="223" t="s">
        <v>513</v>
      </c>
      <c r="C28" s="223" t="s">
        <v>60</v>
      </c>
      <c r="D28" s="224">
        <f>D26</f>
        <v>45654</v>
      </c>
      <c r="E28" s="277"/>
      <c r="F28" s="277"/>
      <c r="G28" s="277"/>
      <c r="H28" s="277"/>
      <c r="I28" s="277"/>
      <c r="J28" s="277"/>
      <c r="K28" s="277">
        <f>K26</f>
        <v>0</v>
      </c>
      <c r="L28" s="277"/>
      <c r="M28" s="318" t="s">
        <v>583</v>
      </c>
      <c r="N28" s="319" t="s">
        <v>588</v>
      </c>
      <c r="O28" s="320" t="s">
        <v>513</v>
      </c>
      <c r="P28" s="321">
        <v>16889.79592</v>
      </c>
      <c r="Q28" s="320" t="s">
        <v>584</v>
      </c>
      <c r="R28" s="321">
        <f>P28</f>
        <v>16889.79592</v>
      </c>
      <c r="S28" s="320" t="s">
        <v>587</v>
      </c>
      <c r="T28" s="320" t="s">
        <v>587</v>
      </c>
      <c r="U28" s="322" t="s">
        <v>61</v>
      </c>
      <c r="V28" s="322" t="s">
        <v>61</v>
      </c>
      <c r="W28" s="320" t="s">
        <v>585</v>
      </c>
      <c r="X28" s="321">
        <v>16888.96</v>
      </c>
      <c r="Y28" s="322"/>
      <c r="Z28" s="322"/>
      <c r="AA28" s="321">
        <v>16888.96</v>
      </c>
      <c r="AB28" s="321">
        <v>16888.96</v>
      </c>
      <c r="AC28" s="320" t="s">
        <v>585</v>
      </c>
      <c r="AD28" s="321">
        <f>'8. Общие сведения'!B33*1000</f>
        <v>22191.200570000001</v>
      </c>
      <c r="AE28" s="321"/>
      <c r="AF28" s="320" t="s">
        <v>586</v>
      </c>
      <c r="AG28" s="323" t="s">
        <v>589</v>
      </c>
      <c r="AH28" s="324">
        <v>45076</v>
      </c>
      <c r="AI28" s="324">
        <v>45064</v>
      </c>
      <c r="AJ28" s="324">
        <v>45100</v>
      </c>
      <c r="AK28" s="324">
        <v>45148</v>
      </c>
      <c r="AL28" s="322"/>
      <c r="AM28" s="322"/>
      <c r="AN28" s="322"/>
      <c r="AO28" s="322"/>
      <c r="AP28" s="324">
        <v>45168</v>
      </c>
      <c r="AQ28" s="324">
        <v>45168</v>
      </c>
      <c r="AR28" s="324">
        <v>45168</v>
      </c>
      <c r="AS28" s="324">
        <v>45168</v>
      </c>
      <c r="AT28" s="324">
        <v>45289</v>
      </c>
      <c r="AU28" s="322"/>
      <c r="AV28" s="320" t="s">
        <v>595</v>
      </c>
    </row>
    <row r="29" spans="1:48" s="228" customFormat="1" ht="240" x14ac:dyDescent="0.2">
      <c r="A29" s="412">
        <v>3</v>
      </c>
      <c r="B29" s="413" t="s">
        <v>513</v>
      </c>
      <c r="C29" s="413" t="s">
        <v>60</v>
      </c>
      <c r="D29" s="414">
        <f>D28</f>
        <v>45654</v>
      </c>
      <c r="E29" s="415"/>
      <c r="F29" s="415"/>
      <c r="G29" s="415"/>
      <c r="H29" s="415"/>
      <c r="I29" s="415"/>
      <c r="J29" s="415"/>
      <c r="K29" s="415">
        <f>K28</f>
        <v>0</v>
      </c>
      <c r="L29" s="415"/>
      <c r="M29" s="416" t="s">
        <v>583</v>
      </c>
      <c r="N29" s="417" t="s">
        <v>643</v>
      </c>
      <c r="O29" s="418" t="s">
        <v>513</v>
      </c>
      <c r="P29" s="419">
        <v>10400.919099999999</v>
      </c>
      <c r="Q29" s="418" t="s">
        <v>644</v>
      </c>
      <c r="R29" s="419">
        <v>10400.919099999999</v>
      </c>
      <c r="S29" s="418" t="s">
        <v>587</v>
      </c>
      <c r="T29" s="418" t="s">
        <v>645</v>
      </c>
      <c r="U29" s="420">
        <v>1</v>
      </c>
      <c r="V29" s="420">
        <v>1</v>
      </c>
      <c r="W29" s="418" t="s">
        <v>585</v>
      </c>
      <c r="X29" s="419">
        <v>10400.084999999999</v>
      </c>
      <c r="Y29" s="420"/>
      <c r="Z29" s="420">
        <v>1</v>
      </c>
      <c r="AA29" s="419">
        <v>10400.084999999999</v>
      </c>
      <c r="AB29" s="419">
        <v>10400.085000000001</v>
      </c>
      <c r="AC29" s="418" t="s">
        <v>585</v>
      </c>
      <c r="AD29" s="419">
        <f>'8. Общие сведения'!B37*1000</f>
        <v>12480.102000000001</v>
      </c>
      <c r="AE29" s="419"/>
      <c r="AF29" s="418" t="s">
        <v>646</v>
      </c>
      <c r="AG29" s="421" t="s">
        <v>647</v>
      </c>
      <c r="AH29" s="422">
        <v>45777</v>
      </c>
      <c r="AI29" s="422">
        <v>45765</v>
      </c>
      <c r="AJ29" s="422">
        <v>45782</v>
      </c>
      <c r="AK29" s="422">
        <v>45792</v>
      </c>
      <c r="AL29" s="420"/>
      <c r="AM29" s="420"/>
      <c r="AN29" s="420"/>
      <c r="AO29" s="420"/>
      <c r="AP29" s="422">
        <v>45810</v>
      </c>
      <c r="AQ29" s="422">
        <v>45810</v>
      </c>
      <c r="AR29" s="422">
        <v>45810</v>
      </c>
      <c r="AS29" s="422">
        <v>45810</v>
      </c>
      <c r="AT29" s="422">
        <v>46042</v>
      </c>
      <c r="AU29" s="420"/>
      <c r="AV29" s="418"/>
    </row>
    <row r="30" spans="1:48" s="21" customFormat="1" x14ac:dyDescent="0.25">
      <c r="A30" s="229"/>
      <c r="B30" s="229"/>
      <c r="C30" s="229"/>
      <c r="D30" s="229"/>
      <c r="E30" s="229"/>
      <c r="F30" s="229"/>
      <c r="G30" s="229"/>
      <c r="H30" s="229"/>
      <c r="I30" s="229"/>
      <c r="J30" s="229"/>
      <c r="K30" s="229"/>
      <c r="L30" s="229"/>
      <c r="M30" s="229"/>
      <c r="N30" s="229"/>
      <c r="O30" s="229"/>
      <c r="P30" s="229"/>
      <c r="Q30" s="229"/>
      <c r="R30" s="229"/>
      <c r="S30" s="229"/>
      <c r="T30" s="229"/>
      <c r="U30" s="229"/>
      <c r="V30" s="229"/>
      <c r="W30" s="189"/>
      <c r="X30" s="190"/>
      <c r="Y30" s="189"/>
      <c r="Z30" s="189"/>
      <c r="AA30" s="190"/>
      <c r="AB30" s="229"/>
      <c r="AC30" s="229"/>
      <c r="AD30" s="229"/>
      <c r="AE30" s="229"/>
      <c r="AF30" s="229"/>
      <c r="AG30" s="229"/>
      <c r="AH30" s="229"/>
      <c r="AI30" s="229"/>
      <c r="AJ30" s="229"/>
      <c r="AK30" s="229"/>
      <c r="AL30" s="229"/>
      <c r="AM30" s="229"/>
      <c r="AN30" s="229"/>
      <c r="AO30" s="229"/>
      <c r="AP30" s="229"/>
      <c r="AQ30" s="229"/>
      <c r="AR30" s="229"/>
      <c r="AS30" s="229"/>
      <c r="AT30" s="229"/>
      <c r="AU30" s="229"/>
      <c r="AV30" s="229"/>
    </row>
    <row r="31" spans="1:48" s="228" customFormat="1" ht="11.25" x14ac:dyDescent="0.2">
      <c r="A31" s="222"/>
      <c r="B31" s="223"/>
      <c r="C31" s="223"/>
      <c r="D31" s="224"/>
      <c r="E31" s="222"/>
      <c r="F31" s="222"/>
      <c r="G31" s="222"/>
      <c r="H31" s="222"/>
      <c r="I31" s="222"/>
      <c r="J31" s="222"/>
      <c r="K31" s="222"/>
      <c r="L31" s="222"/>
      <c r="M31" s="230"/>
      <c r="N31" s="189"/>
      <c r="O31" s="225"/>
      <c r="P31" s="190"/>
      <c r="Q31" s="189"/>
      <c r="R31" s="190"/>
      <c r="S31" s="189"/>
      <c r="T31" s="189"/>
      <c r="U31" s="189"/>
      <c r="V31" s="189"/>
      <c r="W31" s="189"/>
      <c r="X31" s="190"/>
      <c r="Y31" s="189"/>
      <c r="Z31" s="189"/>
      <c r="AA31" s="190"/>
      <c r="AB31" s="226"/>
      <c r="AC31" s="189"/>
      <c r="AD31" s="226"/>
      <c r="AE31" s="226"/>
      <c r="AF31" s="189"/>
      <c r="AG31" s="189"/>
      <c r="AH31" s="227"/>
      <c r="AI31" s="227"/>
      <c r="AJ31" s="227"/>
      <c r="AK31" s="227"/>
      <c r="AL31" s="230"/>
      <c r="AM31" s="230"/>
      <c r="AN31" s="231"/>
      <c r="AO31" s="230"/>
      <c r="AP31" s="227"/>
      <c r="AQ31" s="227"/>
      <c r="AR31" s="227"/>
      <c r="AS31" s="227"/>
      <c r="AT31" s="231"/>
      <c r="AU31" s="230"/>
      <c r="AV31" s="230"/>
    </row>
    <row r="32" spans="1:48" s="21" customFormat="1" x14ac:dyDescent="0.25">
      <c r="A32" s="229"/>
      <c r="B32" s="229"/>
      <c r="C32" s="229"/>
      <c r="D32" s="229"/>
      <c r="E32" s="229"/>
      <c r="F32" s="229"/>
      <c r="G32" s="229"/>
      <c r="H32" s="229"/>
      <c r="I32" s="229"/>
      <c r="J32" s="229"/>
      <c r="K32" s="229"/>
      <c r="L32" s="229"/>
      <c r="M32" s="229"/>
      <c r="N32" s="229"/>
      <c r="O32" s="229"/>
      <c r="P32" s="229"/>
      <c r="Q32" s="229"/>
      <c r="R32" s="229"/>
      <c r="S32" s="229"/>
      <c r="T32" s="229"/>
      <c r="U32" s="229"/>
      <c r="V32" s="229"/>
      <c r="W32" s="189"/>
      <c r="X32" s="190"/>
      <c r="Y32" s="189"/>
      <c r="Z32" s="189"/>
      <c r="AA32" s="190"/>
      <c r="AB32" s="229"/>
      <c r="AC32" s="229"/>
      <c r="AD32" s="229"/>
      <c r="AE32" s="229"/>
      <c r="AF32" s="229"/>
      <c r="AG32" s="229"/>
      <c r="AH32" s="229"/>
      <c r="AI32" s="229"/>
      <c r="AJ32" s="229"/>
      <c r="AK32" s="229"/>
      <c r="AL32" s="229"/>
      <c r="AM32" s="229"/>
      <c r="AN32" s="229"/>
      <c r="AO32" s="229"/>
      <c r="AP32" s="229"/>
      <c r="AQ32" s="229"/>
      <c r="AR32" s="229"/>
      <c r="AS32" s="229"/>
      <c r="AT32" s="229"/>
      <c r="AU32" s="229"/>
      <c r="AV32" s="229"/>
    </row>
    <row r="33" spans="1:48" s="21" customFormat="1" x14ac:dyDescent="0.25">
      <c r="A33" s="229"/>
      <c r="B33" s="229"/>
      <c r="C33" s="229"/>
      <c r="D33" s="229"/>
      <c r="E33" s="229"/>
      <c r="F33" s="229"/>
      <c r="G33" s="229"/>
      <c r="H33" s="229"/>
      <c r="I33" s="229"/>
      <c r="J33" s="229"/>
      <c r="K33" s="229"/>
      <c r="L33" s="229"/>
      <c r="M33" s="229"/>
      <c r="N33" s="229"/>
      <c r="O33" s="229"/>
      <c r="P33" s="229"/>
      <c r="Q33" s="229"/>
      <c r="R33" s="229"/>
      <c r="S33" s="229"/>
      <c r="T33" s="229"/>
      <c r="U33" s="229"/>
      <c r="V33" s="229"/>
      <c r="W33" s="189"/>
      <c r="X33" s="190"/>
      <c r="Y33" s="189"/>
      <c r="Z33" s="189"/>
      <c r="AA33" s="190"/>
      <c r="AB33" s="229"/>
      <c r="AC33" s="229"/>
      <c r="AD33" s="229"/>
      <c r="AE33" s="229"/>
      <c r="AF33" s="229"/>
      <c r="AG33" s="229"/>
      <c r="AH33" s="229"/>
      <c r="AI33" s="229"/>
      <c r="AJ33" s="229"/>
      <c r="AK33" s="229"/>
      <c r="AL33" s="229"/>
      <c r="AM33" s="229"/>
      <c r="AN33" s="229"/>
      <c r="AO33" s="229"/>
      <c r="AP33" s="229"/>
      <c r="AQ33" s="229"/>
      <c r="AR33" s="229"/>
      <c r="AS33" s="229"/>
      <c r="AT33" s="229"/>
      <c r="AU33" s="229"/>
      <c r="AV33" s="229"/>
    </row>
    <row r="34" spans="1:48" x14ac:dyDescent="0.25">
      <c r="A34" s="191"/>
      <c r="B34" s="191"/>
      <c r="C34" s="191"/>
      <c r="D34" s="191"/>
      <c r="E34" s="191"/>
      <c r="F34" s="191"/>
      <c r="G34" s="191"/>
      <c r="H34" s="191"/>
      <c r="I34" s="191"/>
      <c r="J34" s="191"/>
      <c r="K34" s="191"/>
      <c r="L34" s="191"/>
      <c r="M34" s="191"/>
      <c r="N34" s="191"/>
      <c r="O34" s="191"/>
      <c r="P34" s="191"/>
      <c r="Q34" s="191"/>
      <c r="R34" s="191"/>
      <c r="S34" s="191"/>
      <c r="T34" s="191"/>
      <c r="U34" s="191"/>
      <c r="V34" s="191"/>
      <c r="W34" s="189"/>
      <c r="X34" s="190"/>
      <c r="Y34" s="189"/>
      <c r="Z34" s="189"/>
      <c r="AA34" s="190"/>
      <c r="AB34" s="191"/>
      <c r="AC34" s="191"/>
      <c r="AD34" s="191"/>
      <c r="AE34" s="191"/>
      <c r="AF34" s="191"/>
      <c r="AG34" s="191"/>
      <c r="AH34" s="191"/>
      <c r="AI34" s="191"/>
      <c r="AJ34" s="191"/>
      <c r="AK34" s="191"/>
      <c r="AL34" s="191"/>
      <c r="AM34" s="191"/>
      <c r="AN34" s="191"/>
      <c r="AO34" s="191"/>
      <c r="AP34" s="191"/>
      <c r="AQ34" s="191"/>
      <c r="AR34" s="191"/>
      <c r="AS34" s="191"/>
      <c r="AT34" s="191"/>
      <c r="AU34" s="191"/>
      <c r="AV34" s="191"/>
    </row>
    <row r="35" spans="1:48" x14ac:dyDescent="0.25">
      <c r="AD35" s="219">
        <f>SUM(AD26:AD34)</f>
        <v>34746.090840000004</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xr:uid="{00000000-0004-0000-0A00-000000000000}"/>
  </hyperlinks>
  <printOptions horizontalCentered="1"/>
  <pageMargins left="0.59055118110236227" right="0.59055118110236227" top="0.59055118110236227" bottom="0.59055118110236227" header="0" footer="0"/>
  <pageSetup paperSize="8" scale="31"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4"/>
  <sheetViews>
    <sheetView view="pageBreakPreview" topLeftCell="A16" zoomScale="90" zoomScaleNormal="90" zoomScaleSheetLayoutView="90" workbookViewId="0">
      <selection activeCell="A37" sqref="A37"/>
    </sheetView>
  </sheetViews>
  <sheetFormatPr defaultRowHeight="15.75" x14ac:dyDescent="0.25"/>
  <cols>
    <col min="1" max="2" width="66.140625" style="78" customWidth="1"/>
    <col min="3" max="3" width="8.85546875" style="56" hidden="1" customWidth="1"/>
    <col min="4" max="4" width="8.85546875" style="56" customWidth="1"/>
    <col min="5" max="5" width="10.140625" style="56" bestFit="1" customWidth="1"/>
    <col min="6" max="256" width="8.85546875" style="56"/>
    <col min="257" max="258" width="66.140625" style="56" customWidth="1"/>
    <col min="259" max="512" width="8.85546875" style="56"/>
    <col min="513" max="514" width="66.140625" style="56" customWidth="1"/>
    <col min="515" max="768" width="8.85546875" style="56"/>
    <col min="769" max="770" width="66.140625" style="56" customWidth="1"/>
    <col min="771" max="1024" width="8.85546875" style="56"/>
    <col min="1025" max="1026" width="66.140625" style="56" customWidth="1"/>
    <col min="1027" max="1280" width="8.85546875" style="56"/>
    <col min="1281" max="1282" width="66.140625" style="56" customWidth="1"/>
    <col min="1283" max="1536" width="8.85546875" style="56"/>
    <col min="1537" max="1538" width="66.140625" style="56" customWidth="1"/>
    <col min="1539" max="1792" width="8.85546875" style="56"/>
    <col min="1793" max="1794" width="66.140625" style="56" customWidth="1"/>
    <col min="1795" max="2048" width="8.85546875" style="56"/>
    <col min="2049" max="2050" width="66.140625" style="56" customWidth="1"/>
    <col min="2051" max="2304" width="8.85546875" style="56"/>
    <col min="2305" max="2306" width="66.140625" style="56" customWidth="1"/>
    <col min="2307" max="2560" width="8.85546875" style="56"/>
    <col min="2561" max="2562" width="66.140625" style="56" customWidth="1"/>
    <col min="2563" max="2816" width="8.85546875" style="56"/>
    <col min="2817" max="2818" width="66.140625" style="56" customWidth="1"/>
    <col min="2819" max="3072" width="8.85546875" style="56"/>
    <col min="3073" max="3074" width="66.140625" style="56" customWidth="1"/>
    <col min="3075" max="3328" width="8.85546875" style="56"/>
    <col min="3329" max="3330" width="66.140625" style="56" customWidth="1"/>
    <col min="3331" max="3584" width="8.85546875" style="56"/>
    <col min="3585" max="3586" width="66.140625" style="56" customWidth="1"/>
    <col min="3587" max="3840" width="8.85546875" style="56"/>
    <col min="3841" max="3842" width="66.140625" style="56" customWidth="1"/>
    <col min="3843" max="4096" width="8.85546875" style="56"/>
    <col min="4097" max="4098" width="66.140625" style="56" customWidth="1"/>
    <col min="4099" max="4352" width="8.85546875" style="56"/>
    <col min="4353" max="4354" width="66.140625" style="56" customWidth="1"/>
    <col min="4355" max="4608" width="8.85546875" style="56"/>
    <col min="4609" max="4610" width="66.140625" style="56" customWidth="1"/>
    <col min="4611" max="4864" width="8.85546875" style="56"/>
    <col min="4865" max="4866" width="66.140625" style="56" customWidth="1"/>
    <col min="4867" max="5120" width="8.85546875" style="56"/>
    <col min="5121" max="5122" width="66.140625" style="56" customWidth="1"/>
    <col min="5123" max="5376" width="8.85546875" style="56"/>
    <col min="5377" max="5378" width="66.140625" style="56" customWidth="1"/>
    <col min="5379" max="5632" width="8.85546875" style="56"/>
    <col min="5633" max="5634" width="66.140625" style="56" customWidth="1"/>
    <col min="5635" max="5888" width="8.85546875" style="56"/>
    <col min="5889" max="5890" width="66.140625" style="56" customWidth="1"/>
    <col min="5891" max="6144" width="8.85546875" style="56"/>
    <col min="6145" max="6146" width="66.140625" style="56" customWidth="1"/>
    <col min="6147" max="6400" width="8.85546875" style="56"/>
    <col min="6401" max="6402" width="66.140625" style="56" customWidth="1"/>
    <col min="6403" max="6656" width="8.85546875" style="56"/>
    <col min="6657" max="6658" width="66.140625" style="56" customWidth="1"/>
    <col min="6659" max="6912" width="8.85546875" style="56"/>
    <col min="6913" max="6914" width="66.140625" style="56" customWidth="1"/>
    <col min="6915" max="7168" width="8.85546875" style="56"/>
    <col min="7169" max="7170" width="66.140625" style="56" customWidth="1"/>
    <col min="7171" max="7424" width="8.85546875" style="56"/>
    <col min="7425" max="7426" width="66.140625" style="56" customWidth="1"/>
    <col min="7427" max="7680" width="8.85546875" style="56"/>
    <col min="7681" max="7682" width="66.140625" style="56" customWidth="1"/>
    <col min="7683" max="7936" width="8.85546875" style="56"/>
    <col min="7937" max="7938" width="66.140625" style="56" customWidth="1"/>
    <col min="7939" max="8192" width="8.85546875" style="56"/>
    <col min="8193" max="8194" width="66.140625" style="56" customWidth="1"/>
    <col min="8195" max="8448" width="8.85546875" style="56"/>
    <col min="8449" max="8450" width="66.140625" style="56" customWidth="1"/>
    <col min="8451" max="8704" width="8.85546875" style="56"/>
    <col min="8705" max="8706" width="66.140625" style="56" customWidth="1"/>
    <col min="8707" max="8960" width="8.85546875" style="56"/>
    <col min="8961" max="8962" width="66.140625" style="56" customWidth="1"/>
    <col min="8963" max="9216" width="8.85546875" style="56"/>
    <col min="9217" max="9218" width="66.140625" style="56" customWidth="1"/>
    <col min="9219" max="9472" width="8.85546875" style="56"/>
    <col min="9473" max="9474" width="66.140625" style="56" customWidth="1"/>
    <col min="9475" max="9728" width="8.85546875" style="56"/>
    <col min="9729" max="9730" width="66.140625" style="56" customWidth="1"/>
    <col min="9731" max="9984" width="8.85546875" style="56"/>
    <col min="9985" max="9986" width="66.140625" style="56" customWidth="1"/>
    <col min="9987" max="10240" width="8.85546875" style="56"/>
    <col min="10241" max="10242" width="66.140625" style="56" customWidth="1"/>
    <col min="10243" max="10496" width="8.85546875" style="56"/>
    <col min="10497" max="10498" width="66.140625" style="56" customWidth="1"/>
    <col min="10499" max="10752" width="8.85546875" style="56"/>
    <col min="10753" max="10754" width="66.140625" style="56" customWidth="1"/>
    <col min="10755" max="11008" width="8.85546875" style="56"/>
    <col min="11009" max="11010" width="66.140625" style="56" customWidth="1"/>
    <col min="11011" max="11264" width="8.85546875" style="56"/>
    <col min="11265" max="11266" width="66.140625" style="56" customWidth="1"/>
    <col min="11267" max="11520" width="8.85546875" style="56"/>
    <col min="11521" max="11522" width="66.140625" style="56" customWidth="1"/>
    <col min="11523" max="11776" width="8.85546875" style="56"/>
    <col min="11777" max="11778" width="66.140625" style="56" customWidth="1"/>
    <col min="11779" max="12032" width="8.85546875" style="56"/>
    <col min="12033" max="12034" width="66.140625" style="56" customWidth="1"/>
    <col min="12035" max="12288" width="8.85546875" style="56"/>
    <col min="12289" max="12290" width="66.140625" style="56" customWidth="1"/>
    <col min="12291" max="12544" width="8.85546875" style="56"/>
    <col min="12545" max="12546" width="66.140625" style="56" customWidth="1"/>
    <col min="12547" max="12800" width="8.85546875" style="56"/>
    <col min="12801" max="12802" width="66.140625" style="56" customWidth="1"/>
    <col min="12803" max="13056" width="8.85546875" style="56"/>
    <col min="13057" max="13058" width="66.140625" style="56" customWidth="1"/>
    <col min="13059" max="13312" width="8.85546875" style="56"/>
    <col min="13313" max="13314" width="66.140625" style="56" customWidth="1"/>
    <col min="13315" max="13568" width="8.85546875" style="56"/>
    <col min="13569" max="13570" width="66.140625" style="56" customWidth="1"/>
    <col min="13571" max="13824" width="8.85546875" style="56"/>
    <col min="13825" max="13826" width="66.140625" style="56" customWidth="1"/>
    <col min="13827" max="14080" width="8.85546875" style="56"/>
    <col min="14081" max="14082" width="66.140625" style="56" customWidth="1"/>
    <col min="14083" max="14336" width="8.85546875" style="56"/>
    <col min="14337" max="14338" width="66.140625" style="56" customWidth="1"/>
    <col min="14339" max="14592" width="8.85546875" style="56"/>
    <col min="14593" max="14594" width="66.140625" style="56" customWidth="1"/>
    <col min="14595" max="14848" width="8.85546875" style="56"/>
    <col min="14849" max="14850" width="66.140625" style="56" customWidth="1"/>
    <col min="14851" max="15104" width="8.85546875" style="56"/>
    <col min="15105" max="15106" width="66.140625" style="56" customWidth="1"/>
    <col min="15107" max="15360" width="8.85546875" style="56"/>
    <col min="15361" max="15362" width="66.140625" style="56" customWidth="1"/>
    <col min="15363" max="15616" width="8.85546875" style="56"/>
    <col min="15617" max="15618" width="66.140625" style="56" customWidth="1"/>
    <col min="15619" max="15872" width="8.85546875" style="56"/>
    <col min="15873" max="15874" width="66.140625" style="56" customWidth="1"/>
    <col min="15875" max="16128" width="8.85546875" style="56"/>
    <col min="16129" max="16130" width="66.140625" style="56" customWidth="1"/>
    <col min="16131" max="16384" width="8.85546875" style="56"/>
  </cols>
  <sheetData>
    <row r="1" spans="1:8" ht="18.75" x14ac:dyDescent="0.25">
      <c r="B1" s="37" t="s">
        <v>65</v>
      </c>
    </row>
    <row r="2" spans="1:8" ht="18.75" x14ac:dyDescent="0.3">
      <c r="B2" s="14" t="s">
        <v>7</v>
      </c>
    </row>
    <row r="3" spans="1:8" ht="18.75" x14ac:dyDescent="0.3">
      <c r="B3" s="14" t="s">
        <v>422</v>
      </c>
    </row>
    <row r="4" spans="1:8" x14ac:dyDescent="0.25">
      <c r="B4" s="42"/>
    </row>
    <row r="5" spans="1:8" ht="18.75" x14ac:dyDescent="0.3">
      <c r="A5" s="556" t="str">
        <f>'1. паспорт местоположение'!A5:C5</f>
        <v>Год раскрытия информации: 2025 год</v>
      </c>
      <c r="B5" s="556"/>
      <c r="C5" s="67"/>
      <c r="D5" s="67"/>
      <c r="E5" s="67"/>
      <c r="F5" s="67"/>
      <c r="G5" s="67"/>
      <c r="H5" s="67"/>
    </row>
    <row r="6" spans="1:8" ht="18.75" x14ac:dyDescent="0.3">
      <c r="A6" s="193"/>
      <c r="B6" s="193"/>
      <c r="C6" s="193"/>
      <c r="D6" s="193"/>
      <c r="E6" s="193"/>
      <c r="F6" s="193"/>
      <c r="G6" s="193"/>
      <c r="H6" s="193"/>
    </row>
    <row r="7" spans="1:8" ht="18.75" x14ac:dyDescent="0.25">
      <c r="A7" s="557" t="s">
        <v>6</v>
      </c>
      <c r="B7" s="557"/>
      <c r="C7" s="195"/>
      <c r="D7" s="195"/>
      <c r="E7" s="195"/>
      <c r="F7" s="195"/>
      <c r="G7" s="195"/>
      <c r="H7" s="195"/>
    </row>
    <row r="8" spans="1:8" ht="18.75" x14ac:dyDescent="0.25">
      <c r="A8" s="195"/>
      <c r="B8" s="195"/>
      <c r="C8" s="195"/>
      <c r="D8" s="195"/>
      <c r="E8" s="195"/>
      <c r="F8" s="195"/>
      <c r="G8" s="195"/>
      <c r="H8" s="195"/>
    </row>
    <row r="9" spans="1:8" x14ac:dyDescent="0.25">
      <c r="A9" s="558" t="str">
        <f>'1. паспорт местоположение'!A9:C9</f>
        <v>Акционерное общество "Россети Янтарь" ДЗО  ПАО "Россети"</v>
      </c>
      <c r="B9" s="558"/>
      <c r="C9" s="197"/>
      <c r="D9" s="197"/>
      <c r="E9" s="197"/>
      <c r="F9" s="197"/>
      <c r="G9" s="197"/>
      <c r="H9" s="197"/>
    </row>
    <row r="10" spans="1:8" x14ac:dyDescent="0.25">
      <c r="A10" s="559" t="s">
        <v>5</v>
      </c>
      <c r="B10" s="559"/>
      <c r="C10" s="198"/>
      <c r="D10" s="198"/>
      <c r="E10" s="198"/>
      <c r="F10" s="198"/>
      <c r="G10" s="198"/>
      <c r="H10" s="198"/>
    </row>
    <row r="11" spans="1:8" ht="18.75" x14ac:dyDescent="0.25">
      <c r="A11" s="195"/>
      <c r="B11" s="195"/>
      <c r="C11" s="195"/>
      <c r="D11" s="195"/>
      <c r="E11" s="195"/>
      <c r="F11" s="195"/>
      <c r="G11" s="195"/>
      <c r="H11" s="195"/>
    </row>
    <row r="12" spans="1:8" x14ac:dyDescent="0.25">
      <c r="A12" s="558" t="str">
        <f>'1. паспорт местоположение'!A12:C12</f>
        <v>N_19-1035-1</v>
      </c>
      <c r="B12" s="558"/>
      <c r="C12" s="197"/>
      <c r="D12" s="197"/>
      <c r="E12" s="197"/>
      <c r="F12" s="197"/>
      <c r="G12" s="197"/>
      <c r="H12" s="197"/>
    </row>
    <row r="13" spans="1:8" x14ac:dyDescent="0.25">
      <c r="A13" s="559" t="s">
        <v>4</v>
      </c>
      <c r="B13" s="559"/>
      <c r="C13" s="198"/>
      <c r="D13" s="198"/>
      <c r="E13" s="198"/>
      <c r="F13" s="198"/>
      <c r="G13" s="198"/>
      <c r="H13" s="198"/>
    </row>
    <row r="14" spans="1:8" ht="18.75" x14ac:dyDescent="0.25">
      <c r="A14" s="196"/>
      <c r="B14" s="196"/>
      <c r="C14" s="196"/>
      <c r="D14" s="196"/>
      <c r="E14" s="196"/>
      <c r="F14" s="196"/>
      <c r="G14" s="196"/>
      <c r="H14" s="196"/>
    </row>
    <row r="15" spans="1:8" ht="84" customHeight="1" x14ac:dyDescent="0.25">
      <c r="A15" s="560" t="str">
        <f>'1. паспорт местоположение'!A15:C15</f>
        <v>Реконструкция ЛЭП 0,23 кВ с переводом на напряжение 0,4 кВ: демонтаж ЛЭП 0,23 кВ протяженностью 1,055 км, строительство ЛЭП 0,4 кВ протяженностью 1,493 км, демонтаж ТП 6/0,23 кВ ТП-73 мощностью 0,15 МВА, демонтаж трансформатора 6/0,23 кВ  0,185 МВА в РП-VI, дооборудование резервной ячейки в РП-VI вакуумным выключателем 6 кВ и строительство 0,506 км кабельных линий 6 кВ в г. Калининграде</v>
      </c>
      <c r="B15" s="560"/>
      <c r="C15" s="197"/>
      <c r="D15" s="197"/>
      <c r="E15" s="197"/>
      <c r="F15" s="197"/>
      <c r="G15" s="197"/>
      <c r="H15" s="197"/>
    </row>
    <row r="16" spans="1:8" x14ac:dyDescent="0.25">
      <c r="A16" s="559" t="s">
        <v>3</v>
      </c>
      <c r="B16" s="559"/>
      <c r="C16" s="198"/>
      <c r="D16" s="198"/>
      <c r="E16" s="198"/>
      <c r="F16" s="198"/>
      <c r="G16" s="198"/>
      <c r="H16" s="198"/>
    </row>
    <row r="17" spans="1:2" x14ac:dyDescent="0.25">
      <c r="B17" s="79"/>
    </row>
    <row r="18" spans="1:2" x14ac:dyDescent="0.25">
      <c r="A18" s="561" t="s">
        <v>405</v>
      </c>
      <c r="B18" s="562"/>
    </row>
    <row r="19" spans="1:2" x14ac:dyDescent="0.25">
      <c r="B19" s="42"/>
    </row>
    <row r="20" spans="1:2" ht="16.5" thickBot="1" x14ac:dyDescent="0.3">
      <c r="B20" s="80"/>
    </row>
    <row r="21" spans="1:2" ht="105.75" thickBot="1" x14ac:dyDescent="0.3">
      <c r="A21" s="81" t="s">
        <v>301</v>
      </c>
      <c r="B21" s="192" t="str">
        <f>A15</f>
        <v>Реконструкция ЛЭП 0,23 кВ с переводом на напряжение 0,4 кВ: демонтаж ЛЭП 0,23 кВ протяженностью 1,055 км, строительство ЛЭП 0,4 кВ протяженностью 1,493 км, демонтаж ТП 6/0,23 кВ ТП-73 мощностью 0,15 МВА, демонтаж трансформатора 6/0,23 кВ  0,185 МВА в РП-VI, дооборудование резервной ячейки в РП-VI вакуумным выключателем 6 кВ и строительство 0,506 км кабельных линий 6 кВ в г. Калининграде</v>
      </c>
    </row>
    <row r="22" spans="1:2" ht="27" customHeight="1" thickBot="1" x14ac:dyDescent="0.3">
      <c r="A22" s="81" t="s">
        <v>302</v>
      </c>
      <c r="B22" s="82"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81" t="s">
        <v>283</v>
      </c>
      <c r="B23" s="174" t="s">
        <v>528</v>
      </c>
    </row>
    <row r="24" spans="1:2" ht="16.5" thickBot="1" x14ac:dyDescent="0.3">
      <c r="A24" s="81" t="s">
        <v>303</v>
      </c>
      <c r="B24" s="293" t="s">
        <v>568</v>
      </c>
    </row>
    <row r="25" spans="1:2" ht="16.5" thickBot="1" x14ac:dyDescent="0.3">
      <c r="A25" s="171" t="s">
        <v>304</v>
      </c>
      <c r="B25" s="82" t="s">
        <v>638</v>
      </c>
    </row>
    <row r="26" spans="1:2" ht="16.5" thickBot="1" x14ac:dyDescent="0.3">
      <c r="A26" s="172" t="s">
        <v>305</v>
      </c>
      <c r="B26" s="174" t="s">
        <v>632</v>
      </c>
    </row>
    <row r="27" spans="1:2" ht="29.25" thickBot="1" x14ac:dyDescent="0.3">
      <c r="A27" s="83" t="s">
        <v>567</v>
      </c>
      <c r="B27" s="209">
        <v>37.818612940000001</v>
      </c>
    </row>
    <row r="28" spans="1:2" ht="16.5" thickBot="1" x14ac:dyDescent="0.3">
      <c r="A28" s="174" t="s">
        <v>306</v>
      </c>
      <c r="B28" s="210" t="s">
        <v>637</v>
      </c>
    </row>
    <row r="29" spans="1:2" ht="29.25" thickBot="1" x14ac:dyDescent="0.3">
      <c r="A29" s="179" t="s">
        <v>307</v>
      </c>
      <c r="B29" s="210">
        <f>'7. Паспорт отчет о закупке'!AD35/1000</f>
        <v>34.746090840000008</v>
      </c>
    </row>
    <row r="30" spans="1:2" ht="29.25" thickBot="1" x14ac:dyDescent="0.3">
      <c r="A30" s="179" t="s">
        <v>308</v>
      </c>
      <c r="B30" s="209">
        <f>B32+B49+B66</f>
        <v>34.746090840000001</v>
      </c>
    </row>
    <row r="31" spans="1:2" ht="16.5" thickBot="1" x14ac:dyDescent="0.3">
      <c r="A31" s="174" t="s">
        <v>309</v>
      </c>
      <c r="B31" s="209"/>
    </row>
    <row r="32" spans="1:2" ht="29.25" thickBot="1" x14ac:dyDescent="0.3">
      <c r="A32" s="179" t="s">
        <v>310</v>
      </c>
      <c r="B32" s="209">
        <f xml:space="preserve"> SUMIF(C33:C82, 10,B33:B82)</f>
        <v>34.671302570000002</v>
      </c>
    </row>
    <row r="33" spans="1:5" s="199" customFormat="1" ht="45.75" thickBot="1" x14ac:dyDescent="0.3">
      <c r="A33" s="363" t="s">
        <v>642</v>
      </c>
      <c r="B33" s="364">
        <f>22.29209837*0+B36</f>
        <v>22.191200569999999</v>
      </c>
      <c r="C33" s="199">
        <v>10</v>
      </c>
    </row>
    <row r="34" spans="1:5" ht="16.5" thickBot="1" x14ac:dyDescent="0.3">
      <c r="A34" s="174" t="s">
        <v>312</v>
      </c>
      <c r="B34" s="187">
        <f>B33/$B$27</f>
        <v>0.58677986432783213</v>
      </c>
    </row>
    <row r="35" spans="1:5" ht="16.5" thickBot="1" x14ac:dyDescent="0.3">
      <c r="A35" s="174" t="s">
        <v>313</v>
      </c>
      <c r="B35" s="209">
        <v>22.184512300000002</v>
      </c>
      <c r="C35" s="56">
        <v>1</v>
      </c>
    </row>
    <row r="36" spans="1:5" ht="16.5" thickBot="1" x14ac:dyDescent="0.3">
      <c r="A36" s="174" t="s">
        <v>314</v>
      </c>
      <c r="B36" s="209">
        <v>22.191200569999999</v>
      </c>
      <c r="C36" s="56">
        <v>2</v>
      </c>
      <c r="E36" s="410"/>
    </row>
    <row r="37" spans="1:5" s="199" customFormat="1" ht="30.75" thickBot="1" x14ac:dyDescent="0.3">
      <c r="A37" s="363" t="s">
        <v>641</v>
      </c>
      <c r="B37" s="364">
        <v>12.480102</v>
      </c>
      <c r="C37" s="199">
        <v>10</v>
      </c>
    </row>
    <row r="38" spans="1:5" ht="16.5" thickBot="1" x14ac:dyDescent="0.3">
      <c r="A38" s="174" t="s">
        <v>312</v>
      </c>
      <c r="B38" s="187">
        <f>B37/$B$27</f>
        <v>0.32999893517511963</v>
      </c>
    </row>
    <row r="39" spans="1:5" ht="16.5" thickBot="1" x14ac:dyDescent="0.3">
      <c r="A39" s="174" t="s">
        <v>313</v>
      </c>
      <c r="B39" s="209"/>
      <c r="C39" s="56">
        <v>1</v>
      </c>
    </row>
    <row r="40" spans="1:5" ht="16.5" thickBot="1" x14ac:dyDescent="0.3">
      <c r="A40" s="174" t="s">
        <v>314</v>
      </c>
      <c r="B40" s="209"/>
      <c r="C40" s="56">
        <v>2</v>
      </c>
    </row>
    <row r="41" spans="1:5" ht="16.5" thickBot="1" x14ac:dyDescent="0.3">
      <c r="A41" s="186" t="s">
        <v>311</v>
      </c>
      <c r="B41" s="211"/>
      <c r="C41" s="199">
        <v>10</v>
      </c>
    </row>
    <row r="42" spans="1:5" ht="16.5" thickBot="1" x14ac:dyDescent="0.3">
      <c r="A42" s="174" t="s">
        <v>312</v>
      </c>
      <c r="B42" s="187">
        <f>B41/$B$27</f>
        <v>0</v>
      </c>
    </row>
    <row r="43" spans="1:5" ht="16.5" thickBot="1" x14ac:dyDescent="0.3">
      <c r="A43" s="174" t="s">
        <v>313</v>
      </c>
      <c r="B43" s="209"/>
      <c r="C43" s="56">
        <v>1</v>
      </c>
    </row>
    <row r="44" spans="1:5" ht="16.5" thickBot="1" x14ac:dyDescent="0.3">
      <c r="A44" s="174" t="s">
        <v>314</v>
      </c>
      <c r="B44" s="209"/>
      <c r="C44" s="56">
        <v>2</v>
      </c>
    </row>
    <row r="45" spans="1:5" ht="16.5" thickBot="1" x14ac:dyDescent="0.3">
      <c r="A45" s="186" t="s">
        <v>311</v>
      </c>
      <c r="B45" s="211"/>
      <c r="C45" s="199">
        <v>10</v>
      </c>
    </row>
    <row r="46" spans="1:5" ht="16.5" thickBot="1" x14ac:dyDescent="0.3">
      <c r="A46" s="174" t="s">
        <v>312</v>
      </c>
      <c r="B46" s="187">
        <f>B45/$B$27</f>
        <v>0</v>
      </c>
    </row>
    <row r="47" spans="1:5" ht="16.5" thickBot="1" x14ac:dyDescent="0.3">
      <c r="A47" s="174" t="s">
        <v>313</v>
      </c>
      <c r="B47" s="209"/>
      <c r="C47" s="56">
        <v>1</v>
      </c>
    </row>
    <row r="48" spans="1:5" ht="16.5" thickBot="1" x14ac:dyDescent="0.3">
      <c r="A48" s="174" t="s">
        <v>314</v>
      </c>
      <c r="B48" s="209"/>
      <c r="C48" s="56">
        <v>2</v>
      </c>
    </row>
    <row r="49" spans="1:3" ht="29.25" thickBot="1" x14ac:dyDescent="0.3">
      <c r="A49" s="179" t="s">
        <v>315</v>
      </c>
      <c r="B49" s="209">
        <f xml:space="preserve"> SUMIF(C50:C82, 20,B50:B82)</f>
        <v>0</v>
      </c>
    </row>
    <row r="50" spans="1:3" s="199" customFormat="1" ht="16.5" thickBot="1" x14ac:dyDescent="0.3">
      <c r="A50" s="186" t="s">
        <v>311</v>
      </c>
      <c r="B50" s="211"/>
      <c r="C50" s="199">
        <v>20</v>
      </c>
    </row>
    <row r="51" spans="1:3" ht="16.5" thickBot="1" x14ac:dyDescent="0.3">
      <c r="A51" s="174" t="s">
        <v>312</v>
      </c>
      <c r="B51" s="187">
        <f>B50/$B$27</f>
        <v>0</v>
      </c>
    </row>
    <row r="52" spans="1:3" ht="16.5" thickBot="1" x14ac:dyDescent="0.3">
      <c r="A52" s="174" t="s">
        <v>313</v>
      </c>
      <c r="B52" s="209"/>
      <c r="C52" s="56">
        <v>1</v>
      </c>
    </row>
    <row r="53" spans="1:3" ht="16.5" thickBot="1" x14ac:dyDescent="0.3">
      <c r="A53" s="174" t="s">
        <v>314</v>
      </c>
      <c r="B53" s="209"/>
      <c r="C53" s="56">
        <v>2</v>
      </c>
    </row>
    <row r="54" spans="1:3" s="199" customFormat="1" ht="16.5" thickBot="1" x14ac:dyDescent="0.3">
      <c r="A54" s="186" t="s">
        <v>311</v>
      </c>
      <c r="B54" s="211"/>
      <c r="C54" s="199">
        <v>20</v>
      </c>
    </row>
    <row r="55" spans="1:3" ht="16.5" thickBot="1" x14ac:dyDescent="0.3">
      <c r="A55" s="174" t="s">
        <v>312</v>
      </c>
      <c r="B55" s="187">
        <f>B54/$B$27</f>
        <v>0</v>
      </c>
    </row>
    <row r="56" spans="1:3" ht="16.5" thickBot="1" x14ac:dyDescent="0.3">
      <c r="A56" s="174" t="s">
        <v>313</v>
      </c>
      <c r="B56" s="209"/>
      <c r="C56" s="56">
        <v>1</v>
      </c>
    </row>
    <row r="57" spans="1:3" ht="16.5" thickBot="1" x14ac:dyDescent="0.3">
      <c r="A57" s="174" t="s">
        <v>314</v>
      </c>
      <c r="B57" s="209"/>
      <c r="C57" s="56">
        <v>2</v>
      </c>
    </row>
    <row r="58" spans="1:3" s="199" customFormat="1" ht="16.5" thickBot="1" x14ac:dyDescent="0.3">
      <c r="A58" s="186" t="s">
        <v>311</v>
      </c>
      <c r="B58" s="211"/>
      <c r="C58" s="199">
        <v>20</v>
      </c>
    </row>
    <row r="59" spans="1:3" ht="16.5" thickBot="1" x14ac:dyDescent="0.3">
      <c r="A59" s="174" t="s">
        <v>312</v>
      </c>
      <c r="B59" s="187">
        <f>B58/$B$27</f>
        <v>0</v>
      </c>
    </row>
    <row r="60" spans="1:3" ht="16.5" thickBot="1" x14ac:dyDescent="0.3">
      <c r="A60" s="174" t="s">
        <v>313</v>
      </c>
      <c r="B60" s="209"/>
      <c r="C60" s="56">
        <v>1</v>
      </c>
    </row>
    <row r="61" spans="1:3" ht="16.5" thickBot="1" x14ac:dyDescent="0.3">
      <c r="A61" s="174" t="s">
        <v>314</v>
      </c>
      <c r="B61" s="209"/>
      <c r="C61" s="56">
        <v>2</v>
      </c>
    </row>
    <row r="62" spans="1:3" s="199" customFormat="1" ht="16.5" thickBot="1" x14ac:dyDescent="0.3">
      <c r="A62" s="186" t="s">
        <v>311</v>
      </c>
      <c r="B62" s="211"/>
      <c r="C62" s="199">
        <v>20</v>
      </c>
    </row>
    <row r="63" spans="1:3" ht="16.5" thickBot="1" x14ac:dyDescent="0.3">
      <c r="A63" s="174" t="s">
        <v>312</v>
      </c>
      <c r="B63" s="187">
        <f>B62/$B$27</f>
        <v>0</v>
      </c>
    </row>
    <row r="64" spans="1:3" ht="16.5" thickBot="1" x14ac:dyDescent="0.3">
      <c r="A64" s="174" t="s">
        <v>313</v>
      </c>
      <c r="B64" s="209"/>
      <c r="C64" s="56">
        <v>1</v>
      </c>
    </row>
    <row r="65" spans="1:3" ht="16.5" thickBot="1" x14ac:dyDescent="0.3">
      <c r="A65" s="174" t="s">
        <v>314</v>
      </c>
      <c r="B65" s="209"/>
      <c r="C65" s="56">
        <v>2</v>
      </c>
    </row>
    <row r="66" spans="1:3" ht="29.25" thickBot="1" x14ac:dyDescent="0.3">
      <c r="A66" s="179" t="s">
        <v>316</v>
      </c>
      <c r="B66" s="209">
        <f xml:space="preserve"> SUMIF(C67:C82, 30,B67:B82)</f>
        <v>7.4788270000000004E-2</v>
      </c>
    </row>
    <row r="67" spans="1:3" s="199" customFormat="1" ht="45.75" thickBot="1" x14ac:dyDescent="0.3">
      <c r="A67" s="327" t="s">
        <v>569</v>
      </c>
      <c r="B67" s="328">
        <v>7.4788270000000004E-2</v>
      </c>
      <c r="C67" s="199">
        <v>30</v>
      </c>
    </row>
    <row r="68" spans="1:3" ht="16.5" thickBot="1" x14ac:dyDescent="0.3">
      <c r="A68" s="174" t="s">
        <v>312</v>
      </c>
      <c r="B68" s="187">
        <f>B67/$B$27</f>
        <v>1.9775519033089109E-3</v>
      </c>
    </row>
    <row r="69" spans="1:3" ht="16.5" thickBot="1" x14ac:dyDescent="0.3">
      <c r="A69" s="174" t="s">
        <v>313</v>
      </c>
      <c r="B69" s="209">
        <f>B67</f>
        <v>7.4788270000000004E-2</v>
      </c>
      <c r="C69" s="56">
        <v>1</v>
      </c>
    </row>
    <row r="70" spans="1:3" ht="16.5" thickBot="1" x14ac:dyDescent="0.3">
      <c r="A70" s="174" t="s">
        <v>314</v>
      </c>
      <c r="B70" s="209">
        <f>B67</f>
        <v>7.4788270000000004E-2</v>
      </c>
      <c r="C70" s="56">
        <v>2</v>
      </c>
    </row>
    <row r="71" spans="1:3" s="199" customFormat="1" ht="16.5" thickBot="1" x14ac:dyDescent="0.3">
      <c r="A71" s="186" t="s">
        <v>311</v>
      </c>
      <c r="B71" s="211"/>
      <c r="C71" s="199">
        <v>30</v>
      </c>
    </row>
    <row r="72" spans="1:3" ht="16.5" thickBot="1" x14ac:dyDescent="0.3">
      <c r="A72" s="174" t="s">
        <v>312</v>
      </c>
      <c r="B72" s="187">
        <f>B71/$B$27</f>
        <v>0</v>
      </c>
    </row>
    <row r="73" spans="1:3" ht="16.5" thickBot="1" x14ac:dyDescent="0.3">
      <c r="A73" s="174" t="s">
        <v>313</v>
      </c>
      <c r="B73" s="209"/>
      <c r="C73" s="56">
        <v>1</v>
      </c>
    </row>
    <row r="74" spans="1:3" ht="16.5" thickBot="1" x14ac:dyDescent="0.3">
      <c r="A74" s="174" t="s">
        <v>314</v>
      </c>
      <c r="B74" s="209"/>
      <c r="C74" s="56">
        <v>2</v>
      </c>
    </row>
    <row r="75" spans="1:3" s="199" customFormat="1" ht="16.5" thickBot="1" x14ac:dyDescent="0.3">
      <c r="A75" s="186" t="s">
        <v>311</v>
      </c>
      <c r="B75" s="211"/>
      <c r="C75" s="199">
        <v>30</v>
      </c>
    </row>
    <row r="76" spans="1:3" ht="16.5" thickBot="1" x14ac:dyDescent="0.3">
      <c r="A76" s="174" t="s">
        <v>312</v>
      </c>
      <c r="B76" s="187">
        <f>B75/$B$27</f>
        <v>0</v>
      </c>
    </row>
    <row r="77" spans="1:3" ht="16.5" thickBot="1" x14ac:dyDescent="0.3">
      <c r="A77" s="174" t="s">
        <v>313</v>
      </c>
      <c r="B77" s="209"/>
      <c r="C77" s="56">
        <v>1</v>
      </c>
    </row>
    <row r="78" spans="1:3" ht="16.5" thickBot="1" x14ac:dyDescent="0.3">
      <c r="A78" s="174" t="s">
        <v>314</v>
      </c>
      <c r="B78" s="209"/>
      <c r="C78" s="56">
        <v>2</v>
      </c>
    </row>
    <row r="79" spans="1:3" s="199" customFormat="1" ht="16.5" thickBot="1" x14ac:dyDescent="0.3">
      <c r="A79" s="186" t="s">
        <v>311</v>
      </c>
      <c r="B79" s="211"/>
      <c r="C79" s="199">
        <v>30</v>
      </c>
    </row>
    <row r="80" spans="1:3" ht="16.5" thickBot="1" x14ac:dyDescent="0.3">
      <c r="A80" s="174" t="s">
        <v>312</v>
      </c>
      <c r="B80" s="187">
        <f>B79/$B$27</f>
        <v>0</v>
      </c>
    </row>
    <row r="81" spans="1:3" ht="16.5" thickBot="1" x14ac:dyDescent="0.3">
      <c r="A81" s="174" t="s">
        <v>313</v>
      </c>
      <c r="B81" s="209"/>
      <c r="C81" s="56">
        <v>1</v>
      </c>
    </row>
    <row r="82" spans="1:3" ht="16.5" thickBot="1" x14ac:dyDescent="0.3">
      <c r="A82" s="174" t="s">
        <v>314</v>
      </c>
      <c r="B82" s="209"/>
      <c r="C82" s="56">
        <v>2</v>
      </c>
    </row>
    <row r="83" spans="1:3" ht="29.25" thickBot="1" x14ac:dyDescent="0.3">
      <c r="A83" s="173" t="s">
        <v>317</v>
      </c>
      <c r="B83" s="187">
        <f>B30/B27</f>
        <v>0.91875635140626077</v>
      </c>
    </row>
    <row r="84" spans="1:3" ht="16.5" thickBot="1" x14ac:dyDescent="0.3">
      <c r="A84" s="175" t="s">
        <v>309</v>
      </c>
      <c r="B84" s="187"/>
    </row>
    <row r="85" spans="1:3" ht="16.5" thickBot="1" x14ac:dyDescent="0.3">
      <c r="A85" s="175" t="s">
        <v>318</v>
      </c>
      <c r="B85" s="187">
        <f>20.25946373/B27</f>
        <v>0.53570086671719164</v>
      </c>
    </row>
    <row r="86" spans="1:3" ht="16.5" thickBot="1" x14ac:dyDescent="0.3">
      <c r="A86" s="175" t="s">
        <v>319</v>
      </c>
      <c r="B86" s="187"/>
    </row>
    <row r="87" spans="1:3" ht="16.5" thickBot="1" x14ac:dyDescent="0.3">
      <c r="A87" s="175" t="s">
        <v>320</v>
      </c>
      <c r="B87" s="187">
        <f>(B67+0.00668827)/B27</f>
        <v>2.1544031804990888E-3</v>
      </c>
    </row>
    <row r="88" spans="1:3" s="409" customFormat="1" ht="16.5" thickBot="1" x14ac:dyDescent="0.3">
      <c r="A88" s="408" t="s">
        <v>634</v>
      </c>
      <c r="B88" s="209">
        <f xml:space="preserve"> SUMIF(C89:C92, 40,B89:B92)</f>
        <v>1.5222719499999999</v>
      </c>
    </row>
    <row r="89" spans="1:3" s="199" customFormat="1" ht="30.75" thickBot="1" x14ac:dyDescent="0.3">
      <c r="A89" s="363" t="s">
        <v>635</v>
      </c>
      <c r="B89" s="364">
        <v>1.5222719499999999</v>
      </c>
      <c r="C89" s="199">
        <v>40</v>
      </c>
    </row>
    <row r="90" spans="1:3" ht="16.5" thickBot="1" x14ac:dyDescent="0.3">
      <c r="A90" s="174" t="s">
        <v>312</v>
      </c>
      <c r="B90" s="187">
        <f>B89/$B$27</f>
        <v>4.0251924427136321E-2</v>
      </c>
    </row>
    <row r="91" spans="1:3" ht="16.5" thickBot="1" x14ac:dyDescent="0.3">
      <c r="A91" s="174" t="s">
        <v>313</v>
      </c>
      <c r="B91" s="209">
        <f>B89</f>
        <v>1.5222719499999999</v>
      </c>
      <c r="C91" s="56">
        <v>1</v>
      </c>
    </row>
    <row r="92" spans="1:3" ht="16.5" thickBot="1" x14ac:dyDescent="0.3">
      <c r="A92" s="174" t="s">
        <v>314</v>
      </c>
      <c r="B92" s="209">
        <f>B89</f>
        <v>1.5222719499999999</v>
      </c>
      <c r="C92" s="56">
        <v>2</v>
      </c>
    </row>
    <row r="93" spans="1:3" ht="16.5" thickBot="1" x14ac:dyDescent="0.3">
      <c r="A93" s="171" t="s">
        <v>321</v>
      </c>
      <c r="B93" s="188">
        <f>B94/$B$27</f>
        <v>0.62883248938108727</v>
      </c>
    </row>
    <row r="94" spans="1:3" ht="16.5" thickBot="1" x14ac:dyDescent="0.3">
      <c r="A94" s="171" t="s">
        <v>322</v>
      </c>
      <c r="B94" s="218">
        <f xml:space="preserve"> SUMIF(C33:C92, 1,B33:B92)</f>
        <v>23.781572520000001</v>
      </c>
      <c r="C94" s="56">
        <f>'6.2. Паспорт фин осв ввод '!D24-'6.2. Паспорт фин осв ввод '!F24</f>
        <v>-16.20620533</v>
      </c>
    </row>
    <row r="95" spans="1:3" ht="16.5" thickBot="1" x14ac:dyDescent="0.3">
      <c r="A95" s="171" t="s">
        <v>323</v>
      </c>
      <c r="B95" s="188">
        <f>B96/$B$27</f>
        <v>0.6290093406582774</v>
      </c>
    </row>
    <row r="96" spans="1:3" ht="16.5" thickBot="1" x14ac:dyDescent="0.3">
      <c r="A96" s="172" t="s">
        <v>324</v>
      </c>
      <c r="B96" s="218">
        <f xml:space="preserve"> SUMIF(C33:C92, 2,B33:B92)</f>
        <v>23.788260789999999</v>
      </c>
      <c r="C96" s="56">
        <f>'6.2. Паспорт фин осв ввод '!D30-'6.2. Паспорт фин осв ввод '!F30</f>
        <v>2.5030883999999958</v>
      </c>
    </row>
    <row r="97" spans="1:6" ht="15.75" customHeight="1" x14ac:dyDescent="0.25">
      <c r="A97" s="173" t="s">
        <v>325</v>
      </c>
      <c r="B97" s="175" t="s">
        <v>326</v>
      </c>
    </row>
    <row r="98" spans="1:6" x14ac:dyDescent="0.25">
      <c r="A98" s="177" t="s">
        <v>327</v>
      </c>
      <c r="B98" s="177" t="s">
        <v>513</v>
      </c>
    </row>
    <row r="99" spans="1:6" ht="45" x14ac:dyDescent="0.25">
      <c r="A99" s="177" t="s">
        <v>328</v>
      </c>
      <c r="B99" s="177" t="s">
        <v>570</v>
      </c>
    </row>
    <row r="100" spans="1:6" x14ac:dyDescent="0.25">
      <c r="A100" s="177" t="s">
        <v>329</v>
      </c>
      <c r="B100" s="177"/>
    </row>
    <row r="101" spans="1:6" ht="45" x14ac:dyDescent="0.25">
      <c r="A101" s="177" t="s">
        <v>330</v>
      </c>
      <c r="B101" s="177" t="s">
        <v>640</v>
      </c>
    </row>
    <row r="102" spans="1:6" ht="16.5" thickBot="1" x14ac:dyDescent="0.3">
      <c r="A102" s="178" t="s">
        <v>331</v>
      </c>
      <c r="B102" s="178"/>
    </row>
    <row r="103" spans="1:6" ht="30.75" thickBot="1" x14ac:dyDescent="0.3">
      <c r="A103" s="175" t="s">
        <v>332</v>
      </c>
      <c r="B103" s="176" t="s">
        <v>455</v>
      </c>
    </row>
    <row r="104" spans="1:6" ht="29.25" thickBot="1" x14ac:dyDescent="0.3">
      <c r="A104" s="171" t="s">
        <v>333</v>
      </c>
      <c r="B104" s="176" t="s">
        <v>455</v>
      </c>
    </row>
    <row r="105" spans="1:6" ht="16.5" thickBot="1" x14ac:dyDescent="0.3">
      <c r="A105" s="175" t="s">
        <v>309</v>
      </c>
      <c r="B105" s="176"/>
    </row>
    <row r="106" spans="1:6" ht="16.5" thickBot="1" x14ac:dyDescent="0.3">
      <c r="A106" s="175" t="s">
        <v>334</v>
      </c>
      <c r="B106" s="176" t="s">
        <v>455</v>
      </c>
    </row>
    <row r="107" spans="1:6" ht="16.5" thickBot="1" x14ac:dyDescent="0.3">
      <c r="A107" s="175" t="s">
        <v>335</v>
      </c>
      <c r="B107" s="176" t="s">
        <v>455</v>
      </c>
    </row>
    <row r="108" spans="1:6" ht="16.5" thickBot="1" x14ac:dyDescent="0.3">
      <c r="A108" s="182" t="s">
        <v>336</v>
      </c>
      <c r="B108" s="183"/>
      <c r="F108" s="22"/>
    </row>
    <row r="109" spans="1:6" ht="16.5" thickBot="1" x14ac:dyDescent="0.3">
      <c r="A109" s="171" t="s">
        <v>337</v>
      </c>
      <c r="B109" s="180"/>
    </row>
    <row r="110" spans="1:6" ht="16.5" thickBot="1" x14ac:dyDescent="0.3">
      <c r="A110" s="177" t="s">
        <v>338</v>
      </c>
      <c r="B110" s="212">
        <f>'6.1. Паспорт сетевой график'!H43</f>
        <v>45595</v>
      </c>
    </row>
    <row r="111" spans="1:6" ht="16.5" thickBot="1" x14ac:dyDescent="0.3">
      <c r="A111" s="177" t="s">
        <v>339</v>
      </c>
      <c r="B111" s="183" t="s">
        <v>503</v>
      </c>
    </row>
    <row r="112" spans="1:6" ht="16.5" thickBot="1" x14ac:dyDescent="0.3">
      <c r="A112" s="177" t="s">
        <v>340</v>
      </c>
      <c r="B112" s="183" t="s">
        <v>503</v>
      </c>
    </row>
    <row r="113" spans="1:2" ht="29.25" thickBot="1" x14ac:dyDescent="0.3">
      <c r="A113" s="184" t="s">
        <v>341</v>
      </c>
      <c r="B113" s="181" t="s">
        <v>633</v>
      </c>
    </row>
    <row r="114" spans="1:2" ht="28.5" customHeight="1" x14ac:dyDescent="0.25">
      <c r="A114" s="173" t="s">
        <v>342</v>
      </c>
      <c r="B114" s="563" t="s">
        <v>503</v>
      </c>
    </row>
    <row r="115" spans="1:2" x14ac:dyDescent="0.25">
      <c r="A115" s="177" t="s">
        <v>343</v>
      </c>
      <c r="B115" s="564"/>
    </row>
    <row r="116" spans="1:2" x14ac:dyDescent="0.25">
      <c r="A116" s="177" t="s">
        <v>344</v>
      </c>
      <c r="B116" s="564"/>
    </row>
    <row r="117" spans="1:2" x14ac:dyDescent="0.25">
      <c r="A117" s="177" t="s">
        <v>345</v>
      </c>
      <c r="B117" s="564"/>
    </row>
    <row r="118" spans="1:2" x14ac:dyDescent="0.25">
      <c r="A118" s="177" t="s">
        <v>346</v>
      </c>
      <c r="B118" s="564"/>
    </row>
    <row r="119" spans="1:2" ht="16.5" thickBot="1" x14ac:dyDescent="0.3">
      <c r="A119" s="185" t="s">
        <v>347</v>
      </c>
      <c r="B119" s="565"/>
    </row>
    <row r="122" spans="1:2" x14ac:dyDescent="0.25">
      <c r="A122" s="84"/>
      <c r="B122" s="85"/>
    </row>
    <row r="123" spans="1:2" x14ac:dyDescent="0.25">
      <c r="B123" s="86"/>
    </row>
    <row r="124" spans="1:2" x14ac:dyDescent="0.25">
      <c r="B124" s="87"/>
    </row>
  </sheetData>
  <mergeCells count="10">
    <mergeCell ref="A15:B15"/>
    <mergeCell ref="A16:B16"/>
    <mergeCell ref="A18:B18"/>
    <mergeCell ref="B114:B119"/>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55" zoomScaleSheetLayoutView="55" workbookViewId="0">
      <selection activeCell="C23" sqref="C23"/>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7"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27" t="str">
        <f>'1. паспорт местоположение'!A5:C5</f>
        <v>Год раскрытия информации: 2025 год</v>
      </c>
      <c r="B4" s="427"/>
      <c r="C4" s="427"/>
      <c r="D4" s="427"/>
      <c r="E4" s="427"/>
      <c r="F4" s="427"/>
      <c r="G4" s="427"/>
      <c r="H4" s="427"/>
      <c r="I4" s="427"/>
      <c r="J4" s="427"/>
      <c r="K4" s="427"/>
      <c r="L4" s="427"/>
      <c r="M4" s="427"/>
      <c r="N4" s="427"/>
      <c r="O4" s="427"/>
      <c r="P4" s="427"/>
      <c r="Q4" s="427"/>
      <c r="R4" s="427"/>
      <c r="S4" s="427"/>
    </row>
    <row r="5" spans="1:28" s="11" customFormat="1" ht="15.75" x14ac:dyDescent="0.2">
      <c r="A5" s="16"/>
    </row>
    <row r="6" spans="1:28" s="11" customFormat="1" ht="18.75" x14ac:dyDescent="0.2">
      <c r="A6" s="431" t="s">
        <v>6</v>
      </c>
      <c r="B6" s="431"/>
      <c r="C6" s="431"/>
      <c r="D6" s="431"/>
      <c r="E6" s="431"/>
      <c r="F6" s="431"/>
      <c r="G6" s="431"/>
      <c r="H6" s="431"/>
      <c r="I6" s="431"/>
      <c r="J6" s="431"/>
      <c r="K6" s="431"/>
      <c r="L6" s="431"/>
      <c r="M6" s="431"/>
      <c r="N6" s="431"/>
      <c r="O6" s="431"/>
      <c r="P6" s="431"/>
      <c r="Q6" s="431"/>
      <c r="R6" s="431"/>
      <c r="S6" s="431"/>
      <c r="T6" s="12"/>
      <c r="U6" s="12"/>
      <c r="V6" s="12"/>
      <c r="W6" s="12"/>
      <c r="X6" s="12"/>
      <c r="Y6" s="12"/>
      <c r="Z6" s="12"/>
      <c r="AA6" s="12"/>
      <c r="AB6" s="12"/>
    </row>
    <row r="7" spans="1:28" s="11" customFormat="1" ht="18.75" x14ac:dyDescent="0.2">
      <c r="A7" s="431"/>
      <c r="B7" s="431"/>
      <c r="C7" s="431"/>
      <c r="D7" s="431"/>
      <c r="E7" s="431"/>
      <c r="F7" s="431"/>
      <c r="G7" s="431"/>
      <c r="H7" s="431"/>
      <c r="I7" s="431"/>
      <c r="J7" s="431"/>
      <c r="K7" s="431"/>
      <c r="L7" s="431"/>
      <c r="M7" s="431"/>
      <c r="N7" s="431"/>
      <c r="O7" s="431"/>
      <c r="P7" s="431"/>
      <c r="Q7" s="431"/>
      <c r="R7" s="431"/>
      <c r="S7" s="431"/>
      <c r="T7" s="12"/>
      <c r="U7" s="12"/>
      <c r="V7" s="12"/>
      <c r="W7" s="12"/>
      <c r="X7" s="12"/>
      <c r="Y7" s="12"/>
      <c r="Z7" s="12"/>
      <c r="AA7" s="12"/>
      <c r="AB7" s="12"/>
    </row>
    <row r="8" spans="1:28" s="11" customFormat="1" ht="18.75" x14ac:dyDescent="0.2">
      <c r="A8" s="435" t="str">
        <f>'1. паспорт местоположение'!A9:C9</f>
        <v>Акционерное общество "Россети Янтарь" ДЗО  ПАО "Россети"</v>
      </c>
      <c r="B8" s="435"/>
      <c r="C8" s="435"/>
      <c r="D8" s="435"/>
      <c r="E8" s="435"/>
      <c r="F8" s="435"/>
      <c r="G8" s="435"/>
      <c r="H8" s="435"/>
      <c r="I8" s="435"/>
      <c r="J8" s="435"/>
      <c r="K8" s="435"/>
      <c r="L8" s="435"/>
      <c r="M8" s="435"/>
      <c r="N8" s="435"/>
      <c r="O8" s="435"/>
      <c r="P8" s="435"/>
      <c r="Q8" s="435"/>
      <c r="R8" s="435"/>
      <c r="S8" s="435"/>
      <c r="T8" s="12"/>
      <c r="U8" s="12"/>
      <c r="V8" s="12"/>
      <c r="W8" s="12"/>
      <c r="X8" s="12"/>
      <c r="Y8" s="12"/>
      <c r="Z8" s="12"/>
      <c r="AA8" s="12"/>
      <c r="AB8" s="12"/>
    </row>
    <row r="9" spans="1:28" s="11" customFormat="1" ht="18.75" x14ac:dyDescent="0.2">
      <c r="A9" s="428" t="s">
        <v>5</v>
      </c>
      <c r="B9" s="428"/>
      <c r="C9" s="428"/>
      <c r="D9" s="428"/>
      <c r="E9" s="428"/>
      <c r="F9" s="428"/>
      <c r="G9" s="428"/>
      <c r="H9" s="428"/>
      <c r="I9" s="428"/>
      <c r="J9" s="428"/>
      <c r="K9" s="428"/>
      <c r="L9" s="428"/>
      <c r="M9" s="428"/>
      <c r="N9" s="428"/>
      <c r="O9" s="428"/>
      <c r="P9" s="428"/>
      <c r="Q9" s="428"/>
      <c r="R9" s="428"/>
      <c r="S9" s="428"/>
      <c r="T9" s="12"/>
      <c r="U9" s="12"/>
      <c r="V9" s="12"/>
      <c r="W9" s="12"/>
      <c r="X9" s="12"/>
      <c r="Y9" s="12"/>
      <c r="Z9" s="12"/>
      <c r="AA9" s="12"/>
      <c r="AB9" s="12"/>
    </row>
    <row r="10" spans="1:28" s="11" customFormat="1" ht="18.75" x14ac:dyDescent="0.2">
      <c r="A10" s="431"/>
      <c r="B10" s="431"/>
      <c r="C10" s="431"/>
      <c r="D10" s="431"/>
      <c r="E10" s="431"/>
      <c r="F10" s="431"/>
      <c r="G10" s="431"/>
      <c r="H10" s="431"/>
      <c r="I10" s="431"/>
      <c r="J10" s="431"/>
      <c r="K10" s="431"/>
      <c r="L10" s="431"/>
      <c r="M10" s="431"/>
      <c r="N10" s="431"/>
      <c r="O10" s="431"/>
      <c r="P10" s="431"/>
      <c r="Q10" s="431"/>
      <c r="R10" s="431"/>
      <c r="S10" s="431"/>
      <c r="T10" s="12"/>
      <c r="U10" s="12"/>
      <c r="V10" s="12"/>
      <c r="W10" s="12"/>
      <c r="X10" s="12"/>
      <c r="Y10" s="12"/>
      <c r="Z10" s="12"/>
      <c r="AA10" s="12"/>
      <c r="AB10" s="12"/>
    </row>
    <row r="11" spans="1:28" s="11" customFormat="1" ht="18.75" x14ac:dyDescent="0.2">
      <c r="A11" s="432" t="str">
        <f>'1. паспорт местоположение'!A12:C12</f>
        <v>N_19-1035-1</v>
      </c>
      <c r="B11" s="432"/>
      <c r="C11" s="432"/>
      <c r="D11" s="432"/>
      <c r="E11" s="432"/>
      <c r="F11" s="432"/>
      <c r="G11" s="432"/>
      <c r="H11" s="432"/>
      <c r="I11" s="432"/>
      <c r="J11" s="432"/>
      <c r="K11" s="432"/>
      <c r="L11" s="432"/>
      <c r="M11" s="432"/>
      <c r="N11" s="432"/>
      <c r="O11" s="432"/>
      <c r="P11" s="432"/>
      <c r="Q11" s="432"/>
      <c r="R11" s="432"/>
      <c r="S11" s="432"/>
      <c r="T11" s="12"/>
      <c r="U11" s="12"/>
      <c r="V11" s="12"/>
      <c r="W11" s="12"/>
      <c r="X11" s="12"/>
      <c r="Y11" s="12"/>
      <c r="Z11" s="12"/>
      <c r="AA11" s="12"/>
      <c r="AB11" s="12"/>
    </row>
    <row r="12" spans="1:28" s="11" customFormat="1" ht="18.75" x14ac:dyDescent="0.2">
      <c r="A12" s="428" t="s">
        <v>4</v>
      </c>
      <c r="B12" s="428"/>
      <c r="C12" s="428"/>
      <c r="D12" s="428"/>
      <c r="E12" s="428"/>
      <c r="F12" s="428"/>
      <c r="G12" s="428"/>
      <c r="H12" s="428"/>
      <c r="I12" s="428"/>
      <c r="J12" s="428"/>
      <c r="K12" s="428"/>
      <c r="L12" s="428"/>
      <c r="M12" s="428"/>
      <c r="N12" s="428"/>
      <c r="O12" s="428"/>
      <c r="P12" s="428"/>
      <c r="Q12" s="428"/>
      <c r="R12" s="428"/>
      <c r="S12" s="428"/>
      <c r="T12" s="12"/>
      <c r="U12" s="12"/>
      <c r="V12" s="12"/>
      <c r="W12" s="12"/>
      <c r="X12" s="12"/>
      <c r="Y12" s="12"/>
      <c r="Z12" s="12"/>
      <c r="AA12" s="12"/>
      <c r="AB12" s="12"/>
    </row>
    <row r="13" spans="1:28" s="8" customFormat="1" ht="15.75" customHeight="1" x14ac:dyDescent="0.2">
      <c r="A13" s="439"/>
      <c r="B13" s="439"/>
      <c r="C13" s="439"/>
      <c r="D13" s="439"/>
      <c r="E13" s="439"/>
      <c r="F13" s="439"/>
      <c r="G13" s="439"/>
      <c r="H13" s="439"/>
      <c r="I13" s="439"/>
      <c r="J13" s="439"/>
      <c r="K13" s="439"/>
      <c r="L13" s="439"/>
      <c r="M13" s="439"/>
      <c r="N13" s="439"/>
      <c r="O13" s="439"/>
      <c r="P13" s="439"/>
      <c r="Q13" s="439"/>
      <c r="R13" s="439"/>
      <c r="S13" s="439"/>
      <c r="T13" s="9"/>
      <c r="U13" s="9"/>
      <c r="V13" s="9"/>
      <c r="W13" s="9"/>
      <c r="X13" s="9"/>
      <c r="Y13" s="9"/>
      <c r="Z13" s="9"/>
      <c r="AA13" s="9"/>
      <c r="AB13" s="9"/>
    </row>
    <row r="14" spans="1:28" s="3" customFormat="1" ht="68.25" customHeight="1" x14ac:dyDescent="0.2">
      <c r="A14" s="440" t="str">
        <f>'1. паспорт местоположение'!A15:C15</f>
        <v>Реконструкция ЛЭП 0,23 кВ с переводом на напряжение 0,4 кВ: демонтаж ЛЭП 0,23 кВ протяженностью 1,055 км, строительство ЛЭП 0,4 кВ протяженностью 1,493 км, демонтаж ТП 6/0,23 кВ ТП-73 мощностью 0,15 МВА, демонтаж трансформатора 6/0,23 кВ  0,185 МВА в РП-VI, дооборудование резервной ячейки в РП-VI вакуумным выключателем 6 кВ и строительство 0,506 км кабельных линий 6 кВ в г. Калининграде</v>
      </c>
      <c r="B14" s="440"/>
      <c r="C14" s="440"/>
      <c r="D14" s="440"/>
      <c r="E14" s="440"/>
      <c r="F14" s="440"/>
      <c r="G14" s="440"/>
      <c r="H14" s="440"/>
      <c r="I14" s="440"/>
      <c r="J14" s="440"/>
      <c r="K14" s="440"/>
      <c r="L14" s="440"/>
      <c r="M14" s="440"/>
      <c r="N14" s="440"/>
      <c r="O14" s="440"/>
      <c r="P14" s="440"/>
      <c r="Q14" s="440"/>
      <c r="R14" s="440"/>
      <c r="S14" s="440"/>
      <c r="T14" s="7"/>
      <c r="U14" s="7"/>
      <c r="V14" s="7"/>
      <c r="W14" s="7"/>
      <c r="X14" s="7"/>
      <c r="Y14" s="7"/>
      <c r="Z14" s="7"/>
      <c r="AA14" s="7"/>
      <c r="AB14" s="7"/>
    </row>
    <row r="15" spans="1:28" s="3" customFormat="1" ht="15" customHeight="1" x14ac:dyDescent="0.2">
      <c r="A15" s="428" t="s">
        <v>3</v>
      </c>
      <c r="B15" s="428"/>
      <c r="C15" s="428"/>
      <c r="D15" s="428"/>
      <c r="E15" s="428"/>
      <c r="F15" s="428"/>
      <c r="G15" s="428"/>
      <c r="H15" s="428"/>
      <c r="I15" s="428"/>
      <c r="J15" s="428"/>
      <c r="K15" s="428"/>
      <c r="L15" s="428"/>
      <c r="M15" s="428"/>
      <c r="N15" s="428"/>
      <c r="O15" s="428"/>
      <c r="P15" s="428"/>
      <c r="Q15" s="428"/>
      <c r="R15" s="428"/>
      <c r="S15" s="428"/>
      <c r="T15" s="5"/>
      <c r="U15" s="5"/>
      <c r="V15" s="5"/>
      <c r="W15" s="5"/>
      <c r="X15" s="5"/>
      <c r="Y15" s="5"/>
      <c r="Z15" s="5"/>
      <c r="AA15" s="5"/>
      <c r="AB15" s="5"/>
    </row>
    <row r="16" spans="1:28" s="3" customFormat="1" ht="15" customHeight="1" x14ac:dyDescent="0.2">
      <c r="A16" s="441"/>
      <c r="B16" s="441"/>
      <c r="C16" s="441"/>
      <c r="D16" s="441"/>
      <c r="E16" s="441"/>
      <c r="F16" s="441"/>
      <c r="G16" s="441"/>
      <c r="H16" s="441"/>
      <c r="I16" s="441"/>
      <c r="J16" s="441"/>
      <c r="K16" s="441"/>
      <c r="L16" s="441"/>
      <c r="M16" s="441"/>
      <c r="N16" s="441"/>
      <c r="O16" s="441"/>
      <c r="P16" s="441"/>
      <c r="Q16" s="441"/>
      <c r="R16" s="441"/>
      <c r="S16" s="441"/>
      <c r="T16" s="4"/>
      <c r="U16" s="4"/>
      <c r="V16" s="4"/>
      <c r="W16" s="4"/>
      <c r="X16" s="4"/>
      <c r="Y16" s="4"/>
    </row>
    <row r="17" spans="1:28" s="3" customFormat="1" ht="45.75" customHeight="1" x14ac:dyDescent="0.2">
      <c r="A17" s="429" t="s">
        <v>380</v>
      </c>
      <c r="B17" s="429"/>
      <c r="C17" s="429"/>
      <c r="D17" s="429"/>
      <c r="E17" s="429"/>
      <c r="F17" s="429"/>
      <c r="G17" s="429"/>
      <c r="H17" s="429"/>
      <c r="I17" s="429"/>
      <c r="J17" s="429"/>
      <c r="K17" s="429"/>
      <c r="L17" s="429"/>
      <c r="M17" s="429"/>
      <c r="N17" s="429"/>
      <c r="O17" s="429"/>
      <c r="P17" s="429"/>
      <c r="Q17" s="429"/>
      <c r="R17" s="429"/>
      <c r="S17" s="429"/>
      <c r="T17" s="6"/>
      <c r="U17" s="6"/>
      <c r="V17" s="6"/>
      <c r="W17" s="6"/>
      <c r="X17" s="6"/>
      <c r="Y17" s="6"/>
      <c r="Z17" s="6"/>
      <c r="AA17" s="6"/>
      <c r="AB17" s="6"/>
    </row>
    <row r="18" spans="1:28" s="3" customFormat="1" ht="15" customHeight="1" x14ac:dyDescent="0.2">
      <c r="A18" s="442"/>
      <c r="B18" s="442"/>
      <c r="C18" s="442"/>
      <c r="D18" s="442"/>
      <c r="E18" s="442"/>
      <c r="F18" s="442"/>
      <c r="G18" s="442"/>
      <c r="H18" s="442"/>
      <c r="I18" s="442"/>
      <c r="J18" s="442"/>
      <c r="K18" s="442"/>
      <c r="L18" s="442"/>
      <c r="M18" s="442"/>
      <c r="N18" s="442"/>
      <c r="O18" s="442"/>
      <c r="P18" s="442"/>
      <c r="Q18" s="442"/>
      <c r="R18" s="442"/>
      <c r="S18" s="442"/>
      <c r="T18" s="4"/>
      <c r="U18" s="4"/>
      <c r="V18" s="4"/>
      <c r="W18" s="4"/>
      <c r="X18" s="4"/>
      <c r="Y18" s="4"/>
    </row>
    <row r="19" spans="1:28" s="3" customFormat="1" ht="54" customHeight="1" x14ac:dyDescent="0.2">
      <c r="A19" s="434" t="s">
        <v>2</v>
      </c>
      <c r="B19" s="434" t="s">
        <v>93</v>
      </c>
      <c r="C19" s="436" t="s">
        <v>300</v>
      </c>
      <c r="D19" s="434" t="s">
        <v>299</v>
      </c>
      <c r="E19" s="434" t="s">
        <v>92</v>
      </c>
      <c r="F19" s="434" t="s">
        <v>91</v>
      </c>
      <c r="G19" s="434" t="s">
        <v>295</v>
      </c>
      <c r="H19" s="434" t="s">
        <v>90</v>
      </c>
      <c r="I19" s="434" t="s">
        <v>89</v>
      </c>
      <c r="J19" s="434" t="s">
        <v>88</v>
      </c>
      <c r="K19" s="434" t="s">
        <v>87</v>
      </c>
      <c r="L19" s="434" t="s">
        <v>86</v>
      </c>
      <c r="M19" s="434" t="s">
        <v>85</v>
      </c>
      <c r="N19" s="434" t="s">
        <v>84</v>
      </c>
      <c r="O19" s="434" t="s">
        <v>83</v>
      </c>
      <c r="P19" s="434" t="s">
        <v>82</v>
      </c>
      <c r="Q19" s="434" t="s">
        <v>298</v>
      </c>
      <c r="R19" s="434"/>
      <c r="S19" s="438" t="s">
        <v>374</v>
      </c>
      <c r="T19" s="4"/>
      <c r="U19" s="4"/>
      <c r="V19" s="4"/>
      <c r="W19" s="4"/>
      <c r="X19" s="4"/>
      <c r="Y19" s="4"/>
    </row>
    <row r="20" spans="1:28" s="3" customFormat="1" ht="180.75" customHeight="1" x14ac:dyDescent="0.2">
      <c r="A20" s="434"/>
      <c r="B20" s="434"/>
      <c r="C20" s="437"/>
      <c r="D20" s="434"/>
      <c r="E20" s="434"/>
      <c r="F20" s="434"/>
      <c r="G20" s="434"/>
      <c r="H20" s="434"/>
      <c r="I20" s="434"/>
      <c r="J20" s="434"/>
      <c r="K20" s="434"/>
      <c r="L20" s="434"/>
      <c r="M20" s="434"/>
      <c r="N20" s="434"/>
      <c r="O20" s="434"/>
      <c r="P20" s="434"/>
      <c r="Q20" s="40" t="s">
        <v>296</v>
      </c>
      <c r="R20" s="41" t="s">
        <v>297</v>
      </c>
      <c r="S20" s="438"/>
      <c r="T20" s="27"/>
      <c r="U20" s="27"/>
      <c r="V20" s="27"/>
      <c r="W20" s="27"/>
      <c r="X20" s="27"/>
      <c r="Y20" s="27"/>
      <c r="Z20" s="26"/>
      <c r="AA20" s="26"/>
      <c r="AB20" s="26"/>
    </row>
    <row r="21" spans="1:28" s="3" customFormat="1" ht="18.75" x14ac:dyDescent="0.2">
      <c r="A21" s="40">
        <v>1</v>
      </c>
      <c r="B21" s="45">
        <v>2</v>
      </c>
      <c r="C21" s="40">
        <v>3</v>
      </c>
      <c r="D21" s="45">
        <v>4</v>
      </c>
      <c r="E21" s="40">
        <v>5</v>
      </c>
      <c r="F21" s="45">
        <v>6</v>
      </c>
      <c r="G21" s="90">
        <v>7</v>
      </c>
      <c r="H21" s="91">
        <v>8</v>
      </c>
      <c r="I21" s="90">
        <v>9</v>
      </c>
      <c r="J21" s="91">
        <v>10</v>
      </c>
      <c r="K21" s="90">
        <v>11</v>
      </c>
      <c r="L21" s="91">
        <v>12</v>
      </c>
      <c r="M21" s="90">
        <v>13</v>
      </c>
      <c r="N21" s="91">
        <v>14</v>
      </c>
      <c r="O21" s="90">
        <v>15</v>
      </c>
      <c r="P21" s="91">
        <v>16</v>
      </c>
      <c r="Q21" s="90">
        <v>17</v>
      </c>
      <c r="R21" s="91">
        <v>18</v>
      </c>
      <c r="S21" s="90">
        <v>19</v>
      </c>
      <c r="T21" s="27"/>
      <c r="U21" s="27"/>
      <c r="V21" s="27"/>
      <c r="W21" s="27"/>
      <c r="X21" s="27"/>
      <c r="Y21" s="27"/>
      <c r="Z21" s="26"/>
      <c r="AA21" s="26"/>
      <c r="AB21" s="26"/>
    </row>
    <row r="22" spans="1:28" s="104" customFormat="1" ht="18.75" x14ac:dyDescent="0.25">
      <c r="A22" s="101" t="s">
        <v>294</v>
      </c>
      <c r="B22" s="206" t="s">
        <v>294</v>
      </c>
      <c r="C22" s="206" t="s">
        <v>294</v>
      </c>
      <c r="D22" s="206" t="s">
        <v>294</v>
      </c>
      <c r="E22" s="206" t="s">
        <v>294</v>
      </c>
      <c r="F22" s="206" t="s">
        <v>294</v>
      </c>
      <c r="G22" s="206" t="s">
        <v>294</v>
      </c>
      <c r="H22" s="207" t="s">
        <v>294</v>
      </c>
      <c r="I22" s="207" t="s">
        <v>294</v>
      </c>
      <c r="J22" s="207" t="s">
        <v>294</v>
      </c>
      <c r="K22" s="206" t="s">
        <v>294</v>
      </c>
      <c r="L22" s="206" t="s">
        <v>294</v>
      </c>
      <c r="M22" s="206" t="s">
        <v>294</v>
      </c>
      <c r="N22" s="206" t="s">
        <v>294</v>
      </c>
      <c r="O22" s="206" t="s">
        <v>294</v>
      </c>
      <c r="P22" s="206" t="s">
        <v>294</v>
      </c>
      <c r="Q22" s="206" t="s">
        <v>294</v>
      </c>
      <c r="R22" s="206" t="s">
        <v>294</v>
      </c>
      <c r="S22" s="208" t="s">
        <v>294</v>
      </c>
      <c r="T22" s="27"/>
      <c r="U22" s="27"/>
      <c r="V22" s="27"/>
      <c r="W22" s="27"/>
      <c r="X22" s="27"/>
      <c r="Y22" s="27"/>
      <c r="Z22" s="103"/>
      <c r="AA22" s="103"/>
      <c r="AB22" s="103"/>
    </row>
    <row r="23" spans="1:28" ht="20.25" customHeight="1" x14ac:dyDescent="0.25">
      <c r="A23" s="76"/>
      <c r="B23" s="45" t="s">
        <v>293</v>
      </c>
      <c r="C23" s="45"/>
      <c r="D23" s="45"/>
      <c r="E23" s="76" t="s">
        <v>294</v>
      </c>
      <c r="F23" s="76" t="s">
        <v>294</v>
      </c>
      <c r="G23" s="76" t="s">
        <v>294</v>
      </c>
      <c r="H23" s="102" t="str">
        <f>H22</f>
        <v>-</v>
      </c>
      <c r="I23" s="76"/>
      <c r="J23" s="102" t="str">
        <f>J22</f>
        <v>-</v>
      </c>
      <c r="K23" s="76"/>
      <c r="L23" s="76"/>
      <c r="M23" s="76"/>
      <c r="N23" s="76"/>
      <c r="O23" s="76"/>
      <c r="P23" s="76"/>
      <c r="Q23" s="77"/>
      <c r="R23" s="2"/>
      <c r="S23" s="170" t="str">
        <f>S22</f>
        <v>-</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3"/>
  <sheetViews>
    <sheetView view="pageBreakPreview" topLeftCell="A13" zoomScale="70" zoomScaleNormal="60" zoomScaleSheetLayoutView="70" workbookViewId="0">
      <selection activeCell="N25" sqref="N25"/>
    </sheetView>
  </sheetViews>
  <sheetFormatPr defaultColWidth="10.7109375" defaultRowHeight="15.75" x14ac:dyDescent="0.25"/>
  <cols>
    <col min="1" max="1" width="9.5703125" style="47" customWidth="1"/>
    <col min="2" max="3" width="15" style="47" customWidth="1"/>
    <col min="4" max="4" width="20.7109375" style="47" customWidth="1"/>
    <col min="5" max="5" width="14.5703125" style="47" customWidth="1"/>
    <col min="6" max="6" width="15.85546875" style="47" customWidth="1"/>
    <col min="7" max="7" width="8.7109375" style="47" customWidth="1"/>
    <col min="8" max="8" width="10.2851562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8.28515625" style="47" customWidth="1"/>
    <col min="20" max="20" width="36.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7"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27" t="str">
        <f>'1. паспорт местоположение'!A5:C5</f>
        <v>Год раскрытия информации: 2025 год</v>
      </c>
      <c r="B6" s="427"/>
      <c r="C6" s="427"/>
      <c r="D6" s="427"/>
      <c r="E6" s="427"/>
      <c r="F6" s="427"/>
      <c r="G6" s="427"/>
      <c r="H6" s="427"/>
      <c r="I6" s="427"/>
      <c r="J6" s="427"/>
      <c r="K6" s="427"/>
      <c r="L6" s="427"/>
      <c r="M6" s="427"/>
      <c r="N6" s="427"/>
      <c r="O6" s="427"/>
      <c r="P6" s="427"/>
      <c r="Q6" s="427"/>
      <c r="R6" s="427"/>
      <c r="S6" s="427"/>
      <c r="T6" s="427"/>
    </row>
    <row r="7" spans="1:20" s="11" customFormat="1" x14ac:dyDescent="0.2">
      <c r="A7" s="16"/>
      <c r="H7" s="15"/>
    </row>
    <row r="8" spans="1:20" s="11" customFormat="1" ht="18.75" x14ac:dyDescent="0.2">
      <c r="A8" s="431" t="s">
        <v>6</v>
      </c>
      <c r="B8" s="431"/>
      <c r="C8" s="431"/>
      <c r="D8" s="431"/>
      <c r="E8" s="431"/>
      <c r="F8" s="431"/>
      <c r="G8" s="431"/>
      <c r="H8" s="431"/>
      <c r="I8" s="431"/>
      <c r="J8" s="431"/>
      <c r="K8" s="431"/>
      <c r="L8" s="431"/>
      <c r="M8" s="431"/>
      <c r="N8" s="431"/>
      <c r="O8" s="431"/>
      <c r="P8" s="431"/>
      <c r="Q8" s="431"/>
      <c r="R8" s="431"/>
      <c r="S8" s="431"/>
      <c r="T8" s="431"/>
    </row>
    <row r="9" spans="1:20" s="11" customFormat="1" ht="18.75" x14ac:dyDescent="0.2">
      <c r="A9" s="431"/>
      <c r="B9" s="431"/>
      <c r="C9" s="431"/>
      <c r="D9" s="431"/>
      <c r="E9" s="431"/>
      <c r="F9" s="431"/>
      <c r="G9" s="431"/>
      <c r="H9" s="431"/>
      <c r="I9" s="431"/>
      <c r="J9" s="431"/>
      <c r="K9" s="431"/>
      <c r="L9" s="431"/>
      <c r="M9" s="431"/>
      <c r="N9" s="431"/>
      <c r="O9" s="431"/>
      <c r="P9" s="431"/>
      <c r="Q9" s="431"/>
      <c r="R9" s="431"/>
      <c r="S9" s="431"/>
      <c r="T9" s="431"/>
    </row>
    <row r="10" spans="1:20" s="11" customFormat="1" ht="18.75" customHeight="1" x14ac:dyDescent="0.2">
      <c r="A10" s="457" t="str">
        <f>'[1]1. паспорт местоположение'!A9:C9</f>
        <v>Акционерное общество "Янтарьэнерго" ДЗО  ПАО "Россети"</v>
      </c>
      <c r="B10" s="457"/>
      <c r="C10" s="457"/>
      <c r="D10" s="457"/>
      <c r="E10" s="457"/>
      <c r="F10" s="457"/>
      <c r="G10" s="457"/>
      <c r="H10" s="457"/>
      <c r="I10" s="457"/>
      <c r="J10" s="457"/>
      <c r="K10" s="457"/>
      <c r="L10" s="457"/>
      <c r="M10" s="457"/>
      <c r="N10" s="457"/>
      <c r="O10" s="457"/>
      <c r="P10" s="457"/>
      <c r="Q10" s="457"/>
      <c r="R10" s="457"/>
      <c r="S10" s="457"/>
      <c r="T10" s="457"/>
    </row>
    <row r="11" spans="1:20" s="11" customFormat="1" ht="18.75" customHeight="1" x14ac:dyDescent="0.2">
      <c r="A11" s="428" t="s">
        <v>5</v>
      </c>
      <c r="B11" s="428"/>
      <c r="C11" s="428"/>
      <c r="D11" s="428"/>
      <c r="E11" s="428"/>
      <c r="F11" s="428"/>
      <c r="G11" s="428"/>
      <c r="H11" s="428"/>
      <c r="I11" s="428"/>
      <c r="J11" s="428"/>
      <c r="K11" s="428"/>
      <c r="L11" s="428"/>
      <c r="M11" s="428"/>
      <c r="N11" s="428"/>
      <c r="O11" s="428"/>
      <c r="P11" s="428"/>
      <c r="Q11" s="428"/>
      <c r="R11" s="428"/>
      <c r="S11" s="428"/>
      <c r="T11" s="428"/>
    </row>
    <row r="12" spans="1:20" s="11" customFormat="1" ht="18.75" x14ac:dyDescent="0.2">
      <c r="A12" s="431"/>
      <c r="B12" s="431"/>
      <c r="C12" s="431"/>
      <c r="D12" s="431"/>
      <c r="E12" s="431"/>
      <c r="F12" s="431"/>
      <c r="G12" s="431"/>
      <c r="H12" s="431"/>
      <c r="I12" s="431"/>
      <c r="J12" s="431"/>
      <c r="K12" s="431"/>
      <c r="L12" s="431"/>
      <c r="M12" s="431"/>
      <c r="N12" s="431"/>
      <c r="O12" s="431"/>
      <c r="P12" s="431"/>
      <c r="Q12" s="431"/>
      <c r="R12" s="431"/>
      <c r="S12" s="431"/>
      <c r="T12" s="431"/>
    </row>
    <row r="13" spans="1:20" s="11" customFormat="1" ht="18.75" customHeight="1" x14ac:dyDescent="0.2">
      <c r="A13" s="457" t="str">
        <f>'1. паспорт местоположение'!A12:C12</f>
        <v>N_19-1035-1</v>
      </c>
      <c r="B13" s="457"/>
      <c r="C13" s="457"/>
      <c r="D13" s="457"/>
      <c r="E13" s="457"/>
      <c r="F13" s="457"/>
      <c r="G13" s="457"/>
      <c r="H13" s="457"/>
      <c r="I13" s="457"/>
      <c r="J13" s="457"/>
      <c r="K13" s="457"/>
      <c r="L13" s="457"/>
      <c r="M13" s="457"/>
      <c r="N13" s="457"/>
      <c r="O13" s="457"/>
      <c r="P13" s="457"/>
      <c r="Q13" s="457"/>
      <c r="R13" s="457"/>
      <c r="S13" s="457"/>
      <c r="T13" s="457"/>
    </row>
    <row r="14" spans="1:20" s="11" customFormat="1" ht="18.75" customHeight="1" x14ac:dyDescent="0.2">
      <c r="A14" s="428" t="s">
        <v>4</v>
      </c>
      <c r="B14" s="428"/>
      <c r="C14" s="428"/>
      <c r="D14" s="428"/>
      <c r="E14" s="428"/>
      <c r="F14" s="428"/>
      <c r="G14" s="428"/>
      <c r="H14" s="428"/>
      <c r="I14" s="428"/>
      <c r="J14" s="428"/>
      <c r="K14" s="428"/>
      <c r="L14" s="428"/>
      <c r="M14" s="428"/>
      <c r="N14" s="428"/>
      <c r="O14" s="428"/>
      <c r="P14" s="428"/>
      <c r="Q14" s="428"/>
      <c r="R14" s="428"/>
      <c r="S14" s="428"/>
      <c r="T14" s="428"/>
    </row>
    <row r="15" spans="1:20" s="8" customFormat="1" ht="15.75" customHeight="1" x14ac:dyDescent="0.2">
      <c r="A15" s="439"/>
      <c r="B15" s="439"/>
      <c r="C15" s="439"/>
      <c r="D15" s="439"/>
      <c r="E15" s="439"/>
      <c r="F15" s="439"/>
      <c r="G15" s="439"/>
      <c r="H15" s="439"/>
      <c r="I15" s="439"/>
      <c r="J15" s="439"/>
      <c r="K15" s="439"/>
      <c r="L15" s="439"/>
      <c r="M15" s="439"/>
      <c r="N15" s="439"/>
      <c r="O15" s="439"/>
      <c r="P15" s="439"/>
      <c r="Q15" s="439"/>
      <c r="R15" s="439"/>
      <c r="S15" s="439"/>
      <c r="T15" s="439"/>
    </row>
    <row r="16" spans="1:20" s="3" customFormat="1" ht="54.75" customHeight="1" x14ac:dyDescent="0.2">
      <c r="A16" s="458" t="str">
        <f>'1. паспорт местоположение'!A15:C15</f>
        <v>Реконструкция ЛЭП 0,23 кВ с переводом на напряжение 0,4 кВ: демонтаж ЛЭП 0,23 кВ протяженностью 1,055 км, строительство ЛЭП 0,4 кВ протяженностью 1,493 км, демонтаж ТП 6/0,23 кВ ТП-73 мощностью 0,15 МВА, демонтаж трансформатора 6/0,23 кВ  0,185 МВА в РП-VI, дооборудование резервной ячейки в РП-VI вакуумным выключателем 6 кВ и строительство 0,506 км кабельных линий 6 кВ в г. Калининграде</v>
      </c>
      <c r="B16" s="458"/>
      <c r="C16" s="458"/>
      <c r="D16" s="458"/>
      <c r="E16" s="458"/>
      <c r="F16" s="458"/>
      <c r="G16" s="458"/>
      <c r="H16" s="458"/>
      <c r="I16" s="458"/>
      <c r="J16" s="458"/>
      <c r="K16" s="458"/>
      <c r="L16" s="458"/>
      <c r="M16" s="458"/>
      <c r="N16" s="458"/>
      <c r="O16" s="458"/>
      <c r="P16" s="458"/>
      <c r="Q16" s="458"/>
      <c r="R16" s="458"/>
      <c r="S16" s="458"/>
      <c r="T16" s="458"/>
    </row>
    <row r="17" spans="1:113" s="3" customFormat="1" ht="15" customHeight="1" x14ac:dyDescent="0.2">
      <c r="A17" s="428" t="s">
        <v>3</v>
      </c>
      <c r="B17" s="428"/>
      <c r="C17" s="428"/>
      <c r="D17" s="428"/>
      <c r="E17" s="428"/>
      <c r="F17" s="428"/>
      <c r="G17" s="428"/>
      <c r="H17" s="428"/>
      <c r="I17" s="428"/>
      <c r="J17" s="428"/>
      <c r="K17" s="428"/>
      <c r="L17" s="428"/>
      <c r="M17" s="428"/>
      <c r="N17" s="428"/>
      <c r="O17" s="428"/>
      <c r="P17" s="428"/>
      <c r="Q17" s="428"/>
      <c r="R17" s="428"/>
      <c r="S17" s="428"/>
      <c r="T17" s="428"/>
    </row>
    <row r="18" spans="1:113" s="3" customFormat="1" ht="15" customHeight="1" x14ac:dyDescent="0.2">
      <c r="A18" s="441"/>
      <c r="B18" s="441"/>
      <c r="C18" s="441"/>
      <c r="D18" s="441"/>
      <c r="E18" s="441"/>
      <c r="F18" s="441"/>
      <c r="G18" s="441"/>
      <c r="H18" s="441"/>
      <c r="I18" s="441"/>
      <c r="J18" s="441"/>
      <c r="K18" s="441"/>
      <c r="L18" s="441"/>
      <c r="M18" s="441"/>
      <c r="N18" s="441"/>
      <c r="O18" s="441"/>
      <c r="P18" s="441"/>
      <c r="Q18" s="441"/>
      <c r="R18" s="441"/>
      <c r="S18" s="441"/>
      <c r="T18" s="441"/>
    </row>
    <row r="19" spans="1:113" s="3" customFormat="1" ht="15" customHeight="1" x14ac:dyDescent="0.2">
      <c r="A19" s="430" t="s">
        <v>385</v>
      </c>
      <c r="B19" s="430"/>
      <c r="C19" s="430"/>
      <c r="D19" s="430"/>
      <c r="E19" s="430"/>
      <c r="F19" s="430"/>
      <c r="G19" s="430"/>
      <c r="H19" s="430"/>
      <c r="I19" s="430"/>
      <c r="J19" s="430"/>
      <c r="K19" s="430"/>
      <c r="L19" s="430"/>
      <c r="M19" s="430"/>
      <c r="N19" s="430"/>
      <c r="O19" s="430"/>
      <c r="P19" s="430"/>
      <c r="Q19" s="430"/>
      <c r="R19" s="430"/>
      <c r="S19" s="430"/>
      <c r="T19" s="430"/>
    </row>
    <row r="20" spans="1:113" s="54" customFormat="1" ht="21" customHeight="1" x14ac:dyDescent="0.25">
      <c r="A20" s="459"/>
      <c r="B20" s="459"/>
      <c r="C20" s="459"/>
      <c r="D20" s="459"/>
      <c r="E20" s="459"/>
      <c r="F20" s="459"/>
      <c r="G20" s="459"/>
      <c r="H20" s="459"/>
      <c r="I20" s="459"/>
      <c r="J20" s="459"/>
      <c r="K20" s="459"/>
      <c r="L20" s="459"/>
      <c r="M20" s="459"/>
      <c r="N20" s="459"/>
      <c r="O20" s="459"/>
      <c r="P20" s="459"/>
      <c r="Q20" s="459"/>
      <c r="R20" s="459"/>
      <c r="S20" s="459"/>
      <c r="T20" s="459"/>
    </row>
    <row r="21" spans="1:113" ht="46.5" customHeight="1" x14ac:dyDescent="0.25">
      <c r="A21" s="443" t="s">
        <v>2</v>
      </c>
      <c r="B21" s="447" t="s">
        <v>198</v>
      </c>
      <c r="C21" s="448"/>
      <c r="D21" s="451" t="s">
        <v>115</v>
      </c>
      <c r="E21" s="447" t="s">
        <v>414</v>
      </c>
      <c r="F21" s="448"/>
      <c r="G21" s="447" t="s">
        <v>217</v>
      </c>
      <c r="H21" s="448"/>
      <c r="I21" s="447" t="s">
        <v>114</v>
      </c>
      <c r="J21" s="448"/>
      <c r="K21" s="451" t="s">
        <v>113</v>
      </c>
      <c r="L21" s="447" t="s">
        <v>112</v>
      </c>
      <c r="M21" s="448"/>
      <c r="N21" s="447" t="s">
        <v>410</v>
      </c>
      <c r="O21" s="448"/>
      <c r="P21" s="451" t="s">
        <v>111</v>
      </c>
      <c r="Q21" s="454" t="s">
        <v>110</v>
      </c>
      <c r="R21" s="455"/>
      <c r="S21" s="454" t="s">
        <v>109</v>
      </c>
      <c r="T21" s="456"/>
    </row>
    <row r="22" spans="1:113" ht="204.75" customHeight="1" x14ac:dyDescent="0.25">
      <c r="A22" s="444"/>
      <c r="B22" s="449"/>
      <c r="C22" s="450"/>
      <c r="D22" s="453"/>
      <c r="E22" s="449"/>
      <c r="F22" s="450"/>
      <c r="G22" s="449"/>
      <c r="H22" s="450"/>
      <c r="I22" s="449"/>
      <c r="J22" s="450"/>
      <c r="K22" s="452"/>
      <c r="L22" s="449"/>
      <c r="M22" s="450"/>
      <c r="N22" s="449"/>
      <c r="O22" s="450"/>
      <c r="P22" s="452"/>
      <c r="Q22" s="290" t="s">
        <v>108</v>
      </c>
      <c r="R22" s="290" t="s">
        <v>384</v>
      </c>
      <c r="S22" s="290" t="s">
        <v>107</v>
      </c>
      <c r="T22" s="290" t="s">
        <v>106</v>
      </c>
    </row>
    <row r="23" spans="1:113" ht="51.75" customHeight="1" x14ac:dyDescent="0.25">
      <c r="A23" s="445"/>
      <c r="B23" s="291" t="s">
        <v>104</v>
      </c>
      <c r="C23" s="291" t="s">
        <v>105</v>
      </c>
      <c r="D23" s="452"/>
      <c r="E23" s="291" t="s">
        <v>104</v>
      </c>
      <c r="F23" s="291" t="s">
        <v>105</v>
      </c>
      <c r="G23" s="291" t="s">
        <v>104</v>
      </c>
      <c r="H23" s="291" t="s">
        <v>105</v>
      </c>
      <c r="I23" s="291" t="s">
        <v>104</v>
      </c>
      <c r="J23" s="291" t="s">
        <v>105</v>
      </c>
      <c r="K23" s="291" t="s">
        <v>104</v>
      </c>
      <c r="L23" s="291" t="s">
        <v>104</v>
      </c>
      <c r="M23" s="291" t="s">
        <v>105</v>
      </c>
      <c r="N23" s="291" t="s">
        <v>104</v>
      </c>
      <c r="O23" s="291" t="s">
        <v>105</v>
      </c>
      <c r="P23" s="282" t="s">
        <v>104</v>
      </c>
      <c r="Q23" s="290" t="s">
        <v>104</v>
      </c>
      <c r="R23" s="290" t="s">
        <v>104</v>
      </c>
      <c r="S23" s="290" t="s">
        <v>104</v>
      </c>
      <c r="T23" s="289" t="s">
        <v>104</v>
      </c>
      <c r="U23" s="48"/>
      <c r="V23" s="48"/>
    </row>
    <row r="24" spans="1:113" x14ac:dyDescent="0.25">
      <c r="A24" s="288">
        <v>1</v>
      </c>
      <c r="B24" s="288">
        <v>2</v>
      </c>
      <c r="C24" s="288">
        <v>3</v>
      </c>
      <c r="D24" s="288">
        <v>4</v>
      </c>
      <c r="E24" s="288">
        <v>5</v>
      </c>
      <c r="F24" s="288">
        <v>6</v>
      </c>
      <c r="G24" s="288">
        <v>7</v>
      </c>
      <c r="H24" s="288">
        <v>8</v>
      </c>
      <c r="I24" s="288">
        <v>9</v>
      </c>
      <c r="J24" s="288">
        <v>10</v>
      </c>
      <c r="K24" s="288">
        <v>11</v>
      </c>
      <c r="L24" s="288">
        <v>12</v>
      </c>
      <c r="M24" s="288">
        <v>13</v>
      </c>
      <c r="N24" s="288">
        <v>14</v>
      </c>
      <c r="O24" s="288">
        <v>15</v>
      </c>
      <c r="P24" s="288">
        <v>16</v>
      </c>
      <c r="Q24" s="288">
        <v>17</v>
      </c>
      <c r="R24" s="288">
        <v>18</v>
      </c>
      <c r="S24" s="288">
        <v>19</v>
      </c>
      <c r="T24" s="288">
        <v>20</v>
      </c>
      <c r="U24" s="48"/>
      <c r="V24" s="48"/>
    </row>
    <row r="25" spans="1:113" ht="31.5" customHeight="1" x14ac:dyDescent="0.25">
      <c r="A25" s="402">
        <v>1</v>
      </c>
      <c r="B25" s="400" t="s">
        <v>541</v>
      </c>
      <c r="C25" s="400" t="s">
        <v>294</v>
      </c>
      <c r="D25" s="400" t="s">
        <v>100</v>
      </c>
      <c r="E25" s="400" t="s">
        <v>542</v>
      </c>
      <c r="F25" s="400" t="s">
        <v>294</v>
      </c>
      <c r="G25" s="402" t="s">
        <v>543</v>
      </c>
      <c r="H25" s="402" t="s">
        <v>294</v>
      </c>
      <c r="I25" s="402">
        <v>1970</v>
      </c>
      <c r="J25" s="402" t="s">
        <v>294</v>
      </c>
      <c r="K25" s="402">
        <v>1985</v>
      </c>
      <c r="L25" s="403" t="s">
        <v>55</v>
      </c>
      <c r="M25" s="403" t="s">
        <v>294</v>
      </c>
      <c r="N25" s="402">
        <f>0.075*2</f>
        <v>0.15</v>
      </c>
      <c r="O25" s="402" t="s">
        <v>294</v>
      </c>
      <c r="P25" s="399" t="s">
        <v>294</v>
      </c>
      <c r="Q25" s="399" t="s">
        <v>294</v>
      </c>
      <c r="R25" s="399" t="s">
        <v>294</v>
      </c>
      <c r="S25" s="399" t="s">
        <v>294</v>
      </c>
      <c r="T25" s="399" t="s">
        <v>294</v>
      </c>
      <c r="U25" s="48" t="s">
        <v>604</v>
      </c>
      <c r="V25" s="48"/>
    </row>
    <row r="26" spans="1:113" ht="31.5" x14ac:dyDescent="0.25">
      <c r="A26" s="402">
        <v>2</v>
      </c>
      <c r="B26" s="400" t="s">
        <v>544</v>
      </c>
      <c r="C26" s="400" t="s">
        <v>544</v>
      </c>
      <c r="D26" s="400" t="s">
        <v>100</v>
      </c>
      <c r="E26" s="400" t="s">
        <v>545</v>
      </c>
      <c r="F26" s="400" t="s">
        <v>294</v>
      </c>
      <c r="G26" s="402" t="s">
        <v>515</v>
      </c>
      <c r="H26" s="402" t="s">
        <v>294</v>
      </c>
      <c r="I26" s="402">
        <v>1982</v>
      </c>
      <c r="J26" s="402" t="s">
        <v>294</v>
      </c>
      <c r="K26" s="402">
        <v>1994</v>
      </c>
      <c r="L26" s="403" t="s">
        <v>55</v>
      </c>
      <c r="M26" s="403" t="s">
        <v>294</v>
      </c>
      <c r="N26" s="402">
        <v>0.185</v>
      </c>
      <c r="O26" s="402" t="s">
        <v>294</v>
      </c>
      <c r="P26" s="399" t="s">
        <v>294</v>
      </c>
      <c r="Q26" s="399" t="s">
        <v>294</v>
      </c>
      <c r="R26" s="399" t="s">
        <v>294</v>
      </c>
      <c r="S26" s="399" t="s">
        <v>294</v>
      </c>
      <c r="T26" s="399" t="s">
        <v>294</v>
      </c>
      <c r="U26" s="48" t="s">
        <v>617</v>
      </c>
      <c r="V26" s="48"/>
    </row>
    <row r="27" spans="1:113" ht="47.25" x14ac:dyDescent="0.25">
      <c r="A27" s="402">
        <v>3</v>
      </c>
      <c r="B27" s="400" t="s">
        <v>544</v>
      </c>
      <c r="C27" s="400" t="s">
        <v>544</v>
      </c>
      <c r="D27" s="400" t="s">
        <v>383</v>
      </c>
      <c r="E27" s="400" t="s">
        <v>294</v>
      </c>
      <c r="F27" s="400" t="s">
        <v>576</v>
      </c>
      <c r="G27" s="402" t="s">
        <v>294</v>
      </c>
      <c r="H27" s="402" t="s">
        <v>505</v>
      </c>
      <c r="I27" s="402" t="s">
        <v>294</v>
      </c>
      <c r="J27" s="402">
        <v>2023</v>
      </c>
      <c r="K27" s="402" t="s">
        <v>294</v>
      </c>
      <c r="L27" s="403" t="s">
        <v>294</v>
      </c>
      <c r="M27" s="403" t="s">
        <v>55</v>
      </c>
      <c r="N27" s="402" t="s">
        <v>294</v>
      </c>
      <c r="O27" s="402" t="s">
        <v>294</v>
      </c>
      <c r="P27" s="399" t="s">
        <v>294</v>
      </c>
      <c r="Q27" s="399" t="s">
        <v>294</v>
      </c>
      <c r="R27" s="399" t="s">
        <v>294</v>
      </c>
      <c r="S27" s="399" t="s">
        <v>294</v>
      </c>
      <c r="T27" s="399" t="s">
        <v>294</v>
      </c>
      <c r="U27" s="48" t="s">
        <v>617</v>
      </c>
      <c r="V27" s="48"/>
    </row>
    <row r="28" spans="1:113" x14ac:dyDescent="0.25">
      <c r="A28" s="286"/>
      <c r="B28" s="286"/>
      <c r="C28" s="286"/>
      <c r="D28" s="287"/>
      <c r="E28" s="286"/>
      <c r="F28" s="286"/>
      <c r="G28" s="286"/>
      <c r="H28" s="286"/>
      <c r="I28" s="286"/>
      <c r="J28" s="286"/>
      <c r="K28" s="286"/>
      <c r="L28" s="286"/>
      <c r="M28" s="286"/>
      <c r="N28" s="286">
        <f>SUM(N25:N26)</f>
        <v>0.33499999999999996</v>
      </c>
      <c r="O28" s="286">
        <f>SUM(O25:O26)</f>
        <v>0</v>
      </c>
      <c r="P28" s="286">
        <f>O28-N28</f>
        <v>-0.33499999999999996</v>
      </c>
      <c r="Q28" s="286"/>
      <c r="R28" s="286"/>
      <c r="S28" s="285"/>
      <c r="T28" s="285"/>
      <c r="U28" s="48"/>
      <c r="V28" s="48"/>
    </row>
    <row r="29" spans="1:113" s="53" customFormat="1" ht="18.75" x14ac:dyDescent="0.3">
      <c r="B29" s="51" t="s">
        <v>103</v>
      </c>
      <c r="C29" s="51"/>
      <c r="D29" s="51"/>
      <c r="E29" s="51"/>
      <c r="F29" s="284"/>
      <c r="G29" s="51"/>
      <c r="H29" s="51"/>
      <c r="I29" s="51"/>
      <c r="J29" s="51"/>
      <c r="K29" s="51"/>
      <c r="L29" s="51"/>
      <c r="M29" s="51"/>
      <c r="N29" s="284"/>
      <c r="O29" s="51"/>
      <c r="P29" s="51"/>
      <c r="Q29" s="51"/>
      <c r="R29" s="51"/>
      <c r="U29" s="283"/>
      <c r="V29" s="283"/>
    </row>
    <row r="30" spans="1:113" x14ac:dyDescent="0.25">
      <c r="B30" s="446" t="s">
        <v>420</v>
      </c>
      <c r="C30" s="446"/>
      <c r="D30" s="446"/>
      <c r="E30" s="446"/>
      <c r="F30" s="446"/>
      <c r="G30" s="446"/>
      <c r="H30" s="446"/>
      <c r="I30" s="446"/>
      <c r="J30" s="446"/>
      <c r="K30" s="446"/>
      <c r="L30" s="446"/>
      <c r="M30" s="446"/>
      <c r="N30" s="446"/>
      <c r="O30" s="446"/>
      <c r="P30" s="446"/>
      <c r="Q30" s="446"/>
      <c r="R30" s="446"/>
      <c r="U30" s="48"/>
      <c r="V30" s="48"/>
    </row>
    <row r="31" spans="1:113" x14ac:dyDescent="0.25">
      <c r="B31" s="51"/>
      <c r="C31" s="51"/>
      <c r="D31" s="51"/>
      <c r="E31" s="51"/>
      <c r="F31" s="51"/>
      <c r="G31" s="51"/>
      <c r="H31" s="51"/>
      <c r="I31" s="51"/>
      <c r="J31" s="51"/>
      <c r="K31" s="51"/>
      <c r="L31" s="51"/>
      <c r="M31" s="51"/>
      <c r="N31" s="51"/>
      <c r="O31" s="51"/>
      <c r="P31" s="51"/>
      <c r="Q31" s="51"/>
      <c r="R31" s="51"/>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50" t="s">
        <v>383</v>
      </c>
      <c r="C32" s="50"/>
      <c r="D32" s="50"/>
      <c r="E32" s="50"/>
      <c r="F32" s="48"/>
      <c r="G32" s="48"/>
      <c r="H32" s="50"/>
      <c r="I32" s="50"/>
      <c r="J32" s="50"/>
      <c r="K32" s="50"/>
      <c r="L32" s="50"/>
      <c r="M32" s="50"/>
      <c r="N32" s="50"/>
      <c r="O32" s="50"/>
      <c r="P32" s="50"/>
      <c r="Q32" s="50"/>
      <c r="R32" s="50"/>
      <c r="S32" s="52"/>
      <c r="T32" s="52"/>
      <c r="U32" s="52"/>
      <c r="V32" s="52"/>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x14ac:dyDescent="0.25">
      <c r="B33" s="50" t="s">
        <v>102</v>
      </c>
      <c r="C33" s="50"/>
      <c r="D33" s="50"/>
      <c r="E33" s="50"/>
      <c r="F33" s="48"/>
      <c r="G33" s="48"/>
      <c r="H33" s="50"/>
      <c r="I33" s="50"/>
      <c r="J33" s="50"/>
      <c r="K33" s="50"/>
      <c r="L33" s="50"/>
      <c r="M33" s="50"/>
      <c r="N33" s="50"/>
      <c r="O33" s="50"/>
      <c r="P33" s="50"/>
      <c r="Q33" s="50"/>
      <c r="R33" s="50"/>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48" customFormat="1" x14ac:dyDescent="0.25">
      <c r="B34" s="50" t="s">
        <v>101</v>
      </c>
      <c r="C34" s="50"/>
      <c r="D34" s="50"/>
      <c r="E34" s="50"/>
      <c r="H34" s="50"/>
      <c r="I34" s="50"/>
      <c r="J34" s="50"/>
      <c r="K34" s="50"/>
      <c r="L34" s="50"/>
      <c r="M34" s="50"/>
      <c r="N34" s="50"/>
      <c r="O34" s="50"/>
      <c r="P34" s="50"/>
      <c r="Q34" s="50"/>
      <c r="R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100</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99</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98</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97</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96</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95</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B41" s="50" t="s">
        <v>94</v>
      </c>
      <c r="C41" s="50"/>
      <c r="D41" s="50"/>
      <c r="E41" s="50"/>
      <c r="H41" s="50"/>
      <c r="I41" s="50"/>
      <c r="J41" s="50"/>
      <c r="K41" s="50"/>
      <c r="L41" s="50"/>
      <c r="M41" s="50"/>
      <c r="N41" s="50"/>
      <c r="O41" s="50"/>
      <c r="P41" s="50"/>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row r="43" spans="2:113" s="48" customFormat="1" x14ac:dyDescent="0.25">
      <c r="Q43" s="50"/>
      <c r="R43" s="50"/>
      <c r="S43" s="50"/>
      <c r="T43" s="50"/>
      <c r="U43" s="50"/>
      <c r="V43" s="50"/>
      <c r="W43" s="50"/>
      <c r="X43" s="50"/>
      <c r="Y43" s="50"/>
      <c r="Z43" s="50"/>
      <c r="AA43" s="50"/>
      <c r="AB43" s="50"/>
      <c r="AC43" s="50"/>
      <c r="AD43" s="50"/>
      <c r="AE43" s="50"/>
      <c r="AF43" s="50"/>
      <c r="AG43" s="50"/>
      <c r="AH43" s="50"/>
      <c r="AI43" s="50"/>
      <c r="AJ43" s="50"/>
      <c r="AK43" s="50"/>
      <c r="AL43" s="50"/>
      <c r="AM43" s="50"/>
      <c r="AN43" s="50"/>
      <c r="AO43" s="50"/>
      <c r="AP43" s="50"/>
      <c r="AQ43" s="50"/>
      <c r="AR43" s="50"/>
      <c r="AS43" s="50"/>
      <c r="AT43" s="50"/>
      <c r="AU43" s="50"/>
      <c r="AV43" s="50"/>
      <c r="AW43" s="50"/>
      <c r="AX43" s="50"/>
      <c r="AY43" s="50"/>
      <c r="AZ43" s="50"/>
      <c r="BA43" s="50"/>
      <c r="BB43" s="50"/>
      <c r="BC43" s="50"/>
      <c r="BD43" s="50"/>
      <c r="BE43" s="50"/>
      <c r="BF43" s="50"/>
      <c r="BG43" s="50"/>
      <c r="BH43" s="50"/>
      <c r="BI43" s="50"/>
      <c r="BJ43" s="50"/>
      <c r="BK43" s="49"/>
      <c r="BL43" s="49"/>
      <c r="BM43" s="49"/>
      <c r="BN43" s="49"/>
      <c r="BO43" s="49"/>
      <c r="BP43" s="49"/>
      <c r="BQ43" s="49"/>
      <c r="BR43" s="49"/>
      <c r="BS43" s="49"/>
      <c r="BT43" s="49"/>
      <c r="BU43" s="49"/>
      <c r="BV43" s="49"/>
      <c r="BW43" s="49"/>
      <c r="BX43" s="49"/>
      <c r="BY43" s="49"/>
      <c r="BZ43" s="49"/>
      <c r="CA43" s="49"/>
      <c r="CB43" s="49"/>
      <c r="CC43" s="49"/>
      <c r="CD43" s="49"/>
      <c r="CE43" s="49"/>
      <c r="CF43" s="49"/>
      <c r="CG43" s="49"/>
      <c r="CH43" s="49"/>
      <c r="CI43" s="49"/>
      <c r="CJ43" s="49"/>
      <c r="CK43" s="49"/>
      <c r="CL43" s="49"/>
      <c r="CM43" s="49"/>
      <c r="CN43" s="49"/>
      <c r="CO43" s="49"/>
      <c r="CP43" s="49"/>
      <c r="CQ43" s="49"/>
      <c r="CR43" s="49"/>
      <c r="CS43" s="49"/>
      <c r="CT43" s="49"/>
      <c r="CU43" s="49"/>
      <c r="CV43" s="49"/>
      <c r="CW43" s="49"/>
      <c r="CX43" s="49"/>
      <c r="CY43" s="49"/>
      <c r="CZ43" s="49"/>
      <c r="DA43" s="49"/>
      <c r="DB43" s="49"/>
      <c r="DC43" s="49"/>
      <c r="DD43" s="49"/>
      <c r="DE43" s="49"/>
      <c r="DF43" s="49"/>
      <c r="DG43" s="49"/>
      <c r="DH43" s="49"/>
      <c r="DI43" s="49"/>
    </row>
  </sheetData>
  <autoFilter ref="A24:O24" xr:uid="{00000000-0009-0000-0000-000002000000}"/>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30:R30"/>
    <mergeCell ref="L21:M22"/>
    <mergeCell ref="N21:O22"/>
    <mergeCell ref="P21:P22"/>
    <mergeCell ref="D21:D23"/>
    <mergeCell ref="E21:F22"/>
    <mergeCell ref="G21:H22"/>
    <mergeCell ref="I21:J22"/>
    <mergeCell ref="K21:K22"/>
    <mergeCell ref="B21:C22"/>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B47"/>
  <sheetViews>
    <sheetView view="pageBreakPreview" topLeftCell="A14" zoomScale="70" zoomScaleSheetLayoutView="70" workbookViewId="0">
      <selection activeCell="AB25" sqref="AB25"/>
    </sheetView>
  </sheetViews>
  <sheetFormatPr defaultColWidth="10.7109375" defaultRowHeight="15.75" x14ac:dyDescent="0.25"/>
  <cols>
    <col min="1" max="1" width="10.7109375" style="47"/>
    <col min="2" max="2" width="19.42578125" style="47" customWidth="1"/>
    <col min="3" max="3" width="39.5703125" style="47" customWidth="1"/>
    <col min="4" max="4" width="20.7109375" style="47" customWidth="1"/>
    <col min="5" max="5" width="39.570312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9.570312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2" width="10.5703125" style="47" customWidth="1"/>
    <col min="23" max="23" width="10.7109375" style="47" customWidth="1"/>
    <col min="24" max="24" width="24.5703125" style="47" customWidth="1"/>
    <col min="25" max="25" width="15.28515625" style="47" customWidth="1"/>
    <col min="26" max="26" width="27.5703125" style="47" customWidth="1"/>
    <col min="27" max="27" width="38.7109375" style="47" customWidth="1"/>
    <col min="28" max="16384" width="10.7109375" style="47"/>
  </cols>
  <sheetData>
    <row r="1" spans="1:27" ht="25.5" customHeight="1" x14ac:dyDescent="0.25">
      <c r="AA1" s="37"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27" t="str">
        <f>'[1]1. паспорт местоположение'!A5:C5</f>
        <v>Год раскрытия информации: 2020 год</v>
      </c>
      <c r="B5" s="427"/>
      <c r="C5" s="427"/>
      <c r="D5" s="427"/>
      <c r="E5" s="427"/>
      <c r="F5" s="427"/>
      <c r="G5" s="427"/>
      <c r="H5" s="427"/>
      <c r="I5" s="427"/>
      <c r="J5" s="427"/>
      <c r="K5" s="427"/>
      <c r="L5" s="427"/>
      <c r="M5" s="427"/>
      <c r="N5" s="427"/>
      <c r="O5" s="427"/>
      <c r="P5" s="427"/>
      <c r="Q5" s="427"/>
      <c r="R5" s="427"/>
      <c r="S5" s="427"/>
      <c r="T5" s="427"/>
      <c r="U5" s="427"/>
      <c r="V5" s="427"/>
      <c r="W5" s="427"/>
      <c r="X5" s="427"/>
      <c r="Y5" s="427"/>
      <c r="Z5" s="427"/>
      <c r="AA5" s="427"/>
    </row>
    <row r="6" spans="1:27" s="11" customFormat="1" x14ac:dyDescent="0.2">
      <c r="A6" s="278"/>
      <c r="B6" s="278"/>
      <c r="C6" s="278"/>
      <c r="D6" s="278"/>
      <c r="E6" s="278"/>
      <c r="F6" s="278"/>
      <c r="G6" s="278"/>
      <c r="H6" s="278"/>
      <c r="I6" s="278"/>
      <c r="J6" s="278"/>
      <c r="K6" s="278"/>
      <c r="L6" s="278"/>
      <c r="M6" s="278"/>
      <c r="N6" s="278"/>
      <c r="O6" s="278"/>
      <c r="P6" s="278"/>
      <c r="Q6" s="278"/>
      <c r="R6" s="278"/>
      <c r="S6" s="278"/>
      <c r="T6" s="278"/>
    </row>
    <row r="7" spans="1:27" s="11" customFormat="1" ht="18.75" x14ac:dyDescent="0.2">
      <c r="A7" s="431" t="s">
        <v>6</v>
      </c>
      <c r="B7" s="431"/>
      <c r="C7" s="431"/>
      <c r="D7" s="431"/>
      <c r="E7" s="431"/>
      <c r="F7" s="431"/>
      <c r="G7" s="431"/>
      <c r="H7" s="431"/>
      <c r="I7" s="431"/>
      <c r="J7" s="431"/>
      <c r="K7" s="431"/>
      <c r="L7" s="431"/>
      <c r="M7" s="431"/>
      <c r="N7" s="431"/>
      <c r="O7" s="431"/>
      <c r="P7" s="431"/>
      <c r="Q7" s="431"/>
      <c r="R7" s="431"/>
      <c r="S7" s="431"/>
      <c r="T7" s="431"/>
      <c r="U7" s="431"/>
      <c r="V7" s="431"/>
      <c r="W7" s="431"/>
      <c r="X7" s="431"/>
      <c r="Y7" s="431"/>
      <c r="Z7" s="431"/>
      <c r="AA7" s="431"/>
    </row>
    <row r="8" spans="1:27" s="11" customFormat="1" ht="18.75" x14ac:dyDescent="0.2">
      <c r="E8" s="279"/>
      <c r="F8" s="279"/>
      <c r="G8" s="279"/>
      <c r="H8" s="279"/>
      <c r="I8" s="279"/>
      <c r="J8" s="279"/>
      <c r="K8" s="279"/>
      <c r="L8" s="279"/>
      <c r="M8" s="279"/>
      <c r="N8" s="279"/>
      <c r="O8" s="279"/>
      <c r="P8" s="279"/>
      <c r="Q8" s="279"/>
      <c r="R8" s="279"/>
      <c r="S8" s="92"/>
      <c r="T8" s="92"/>
      <c r="U8" s="92"/>
      <c r="V8" s="92"/>
      <c r="W8" s="92"/>
    </row>
    <row r="9" spans="1:27" s="11" customFormat="1" ht="18.75" customHeight="1" x14ac:dyDescent="0.2">
      <c r="A9" s="457" t="str">
        <f>'1. паспорт местоположение'!A9:C9</f>
        <v>Акционерное общество "Россети Янтарь" ДЗО  ПАО "Россети"</v>
      </c>
      <c r="B9" s="457"/>
      <c r="C9" s="457"/>
      <c r="D9" s="457"/>
      <c r="E9" s="457"/>
      <c r="F9" s="457"/>
      <c r="G9" s="457"/>
      <c r="H9" s="457"/>
      <c r="I9" s="457"/>
      <c r="J9" s="457"/>
      <c r="K9" s="457"/>
      <c r="L9" s="457"/>
      <c r="M9" s="457"/>
      <c r="N9" s="457"/>
      <c r="O9" s="457"/>
      <c r="P9" s="457"/>
      <c r="Q9" s="457"/>
      <c r="R9" s="457"/>
      <c r="S9" s="457"/>
      <c r="T9" s="457"/>
      <c r="U9" s="457"/>
      <c r="V9" s="457"/>
      <c r="W9" s="457"/>
      <c r="X9" s="457"/>
      <c r="Y9" s="457"/>
      <c r="Z9" s="457"/>
      <c r="AA9" s="457"/>
    </row>
    <row r="10" spans="1:27" s="11" customFormat="1" ht="18.75" customHeight="1" x14ac:dyDescent="0.2">
      <c r="A10" s="428" t="s">
        <v>5</v>
      </c>
      <c r="B10" s="428"/>
      <c r="C10" s="428"/>
      <c r="D10" s="428"/>
      <c r="E10" s="428"/>
      <c r="F10" s="428"/>
      <c r="G10" s="428"/>
      <c r="H10" s="428"/>
      <c r="I10" s="428"/>
      <c r="J10" s="428"/>
      <c r="K10" s="428"/>
      <c r="L10" s="428"/>
      <c r="M10" s="428"/>
      <c r="N10" s="428"/>
      <c r="O10" s="428"/>
      <c r="P10" s="428"/>
      <c r="Q10" s="428"/>
      <c r="R10" s="428"/>
      <c r="S10" s="428"/>
      <c r="T10" s="428"/>
      <c r="U10" s="428"/>
      <c r="V10" s="428"/>
      <c r="W10" s="428"/>
      <c r="X10" s="428"/>
      <c r="Y10" s="428"/>
      <c r="Z10" s="428"/>
      <c r="AA10" s="428"/>
    </row>
    <row r="11" spans="1:27" s="11" customFormat="1" ht="18.75" x14ac:dyDescent="0.2">
      <c r="E11" s="279"/>
      <c r="F11" s="279"/>
      <c r="G11" s="279"/>
      <c r="H11" s="279"/>
      <c r="I11" s="279"/>
      <c r="J11" s="279"/>
      <c r="K11" s="279"/>
      <c r="L11" s="279"/>
      <c r="M11" s="279"/>
      <c r="N11" s="279"/>
      <c r="O11" s="279"/>
      <c r="P11" s="279"/>
      <c r="Q11" s="279"/>
      <c r="R11" s="279"/>
      <c r="S11" s="92"/>
      <c r="T11" s="92"/>
      <c r="U11" s="92"/>
      <c r="V11" s="92"/>
      <c r="W11" s="92"/>
    </row>
    <row r="12" spans="1:27" s="11" customFormat="1" ht="18.75" customHeight="1" x14ac:dyDescent="0.2">
      <c r="A12" s="457" t="str">
        <f>'1. паспорт местоположение'!A12:C12</f>
        <v>N_19-1035-1</v>
      </c>
      <c r="B12" s="457"/>
      <c r="C12" s="457"/>
      <c r="D12" s="457"/>
      <c r="E12" s="457"/>
      <c r="F12" s="457"/>
      <c r="G12" s="457"/>
      <c r="H12" s="457"/>
      <c r="I12" s="457"/>
      <c r="J12" s="457"/>
      <c r="K12" s="457"/>
      <c r="L12" s="457"/>
      <c r="M12" s="457"/>
      <c r="N12" s="457"/>
      <c r="O12" s="457"/>
      <c r="P12" s="457"/>
      <c r="Q12" s="457"/>
      <c r="R12" s="457"/>
      <c r="S12" s="457"/>
      <c r="T12" s="457"/>
      <c r="U12" s="457"/>
      <c r="V12" s="457"/>
      <c r="W12" s="457"/>
      <c r="X12" s="457"/>
      <c r="Y12" s="457"/>
      <c r="Z12" s="457"/>
      <c r="AA12" s="457"/>
    </row>
    <row r="13" spans="1:27" s="11" customFormat="1" ht="18.75" customHeight="1" x14ac:dyDescent="0.2">
      <c r="A13" s="428" t="s">
        <v>4</v>
      </c>
      <c r="B13" s="428"/>
      <c r="C13" s="428"/>
      <c r="D13" s="428"/>
      <c r="E13" s="428"/>
      <c r="F13" s="428"/>
      <c r="G13" s="428"/>
      <c r="H13" s="428"/>
      <c r="I13" s="428"/>
      <c r="J13" s="428"/>
      <c r="K13" s="428"/>
      <c r="L13" s="428"/>
      <c r="M13" s="428"/>
      <c r="N13" s="428"/>
      <c r="O13" s="428"/>
      <c r="P13" s="428"/>
      <c r="Q13" s="428"/>
      <c r="R13" s="428"/>
      <c r="S13" s="428"/>
      <c r="T13" s="428"/>
      <c r="U13" s="428"/>
      <c r="V13" s="428"/>
      <c r="W13" s="428"/>
      <c r="X13" s="428"/>
      <c r="Y13" s="428"/>
      <c r="Z13" s="428"/>
      <c r="AA13" s="428"/>
    </row>
    <row r="14" spans="1:27" s="8" customFormat="1" ht="15.75" customHeight="1" x14ac:dyDescent="0.2">
      <c r="E14" s="280"/>
      <c r="F14" s="280"/>
      <c r="G14" s="280"/>
      <c r="H14" s="280"/>
      <c r="I14" s="280"/>
      <c r="J14" s="280"/>
      <c r="K14" s="280"/>
      <c r="L14" s="280"/>
      <c r="M14" s="280"/>
      <c r="N14" s="280"/>
      <c r="O14" s="280"/>
      <c r="P14" s="280"/>
      <c r="Q14" s="280"/>
      <c r="R14" s="280"/>
      <c r="S14" s="280"/>
      <c r="T14" s="280"/>
      <c r="U14" s="280"/>
      <c r="V14" s="280"/>
      <c r="W14" s="280"/>
    </row>
    <row r="15" spans="1:27" s="3" customFormat="1" ht="37.5" customHeight="1" x14ac:dyDescent="0.2">
      <c r="A15" s="457" t="str">
        <f>'1. паспорт местоположение'!A15:C15</f>
        <v>Реконструкция ЛЭП 0,23 кВ с переводом на напряжение 0,4 кВ: демонтаж ЛЭП 0,23 кВ протяженностью 1,055 км, строительство ЛЭП 0,4 кВ протяженностью 1,493 км, демонтаж ТП 6/0,23 кВ ТП-73 мощностью 0,15 МВА, демонтаж трансформатора 6/0,23 кВ  0,185 МВА в РП-VI, дооборудование резервной ячейки в РП-VI вакуумным выключателем 6 кВ и строительство 0,506 км кабельных линий 6 кВ в г. Калининграде</v>
      </c>
      <c r="B15" s="457"/>
      <c r="C15" s="457"/>
      <c r="D15" s="457"/>
      <c r="E15" s="457"/>
      <c r="F15" s="457"/>
      <c r="G15" s="457"/>
      <c r="H15" s="457"/>
      <c r="I15" s="457"/>
      <c r="J15" s="457"/>
      <c r="K15" s="457"/>
      <c r="L15" s="457"/>
      <c r="M15" s="457"/>
      <c r="N15" s="457"/>
      <c r="O15" s="457"/>
      <c r="P15" s="457"/>
      <c r="Q15" s="457"/>
      <c r="R15" s="457"/>
      <c r="S15" s="457"/>
      <c r="T15" s="457"/>
      <c r="U15" s="457"/>
      <c r="V15" s="457"/>
      <c r="W15" s="457"/>
      <c r="X15" s="457"/>
      <c r="Y15" s="457"/>
      <c r="Z15" s="457"/>
      <c r="AA15" s="457"/>
    </row>
    <row r="16" spans="1:27" s="3" customFormat="1" ht="15" customHeight="1" x14ac:dyDescent="0.2">
      <c r="A16" s="428" t="s">
        <v>3</v>
      </c>
      <c r="B16" s="428"/>
      <c r="C16" s="428"/>
      <c r="D16" s="428"/>
      <c r="E16" s="428"/>
      <c r="F16" s="428"/>
      <c r="G16" s="428"/>
      <c r="H16" s="428"/>
      <c r="I16" s="428"/>
      <c r="J16" s="428"/>
      <c r="K16" s="428"/>
      <c r="L16" s="428"/>
      <c r="M16" s="428"/>
      <c r="N16" s="428"/>
      <c r="O16" s="428"/>
      <c r="P16" s="428"/>
      <c r="Q16" s="428"/>
      <c r="R16" s="428"/>
      <c r="S16" s="428"/>
      <c r="T16" s="428"/>
      <c r="U16" s="428"/>
      <c r="V16" s="428"/>
      <c r="W16" s="428"/>
      <c r="X16" s="428"/>
      <c r="Y16" s="428"/>
      <c r="Z16" s="428"/>
      <c r="AA16" s="428"/>
    </row>
    <row r="17" spans="1:28" s="3" customFormat="1" ht="15" customHeight="1" x14ac:dyDescent="0.2">
      <c r="E17" s="281"/>
      <c r="F17" s="281"/>
      <c r="G17" s="281"/>
      <c r="H17" s="281"/>
      <c r="I17" s="281"/>
      <c r="J17" s="281"/>
      <c r="K17" s="281"/>
      <c r="L17" s="281"/>
      <c r="M17" s="281"/>
      <c r="N17" s="281"/>
      <c r="O17" s="281"/>
      <c r="P17" s="281"/>
      <c r="Q17" s="281"/>
      <c r="R17" s="281"/>
      <c r="S17" s="281"/>
      <c r="T17" s="281"/>
      <c r="U17" s="281"/>
      <c r="V17" s="281"/>
      <c r="W17" s="281"/>
    </row>
    <row r="18" spans="1:28" s="3" customFormat="1" ht="15" customHeight="1" x14ac:dyDescent="0.2">
      <c r="E18" s="430"/>
      <c r="F18" s="430"/>
      <c r="G18" s="430"/>
      <c r="H18" s="430"/>
      <c r="I18" s="430"/>
      <c r="J18" s="430"/>
      <c r="K18" s="430"/>
      <c r="L18" s="430"/>
      <c r="M18" s="430"/>
      <c r="N18" s="430"/>
      <c r="O18" s="430"/>
      <c r="P18" s="430"/>
      <c r="Q18" s="430"/>
      <c r="R18" s="430"/>
      <c r="S18" s="430"/>
      <c r="T18" s="430"/>
      <c r="U18" s="430"/>
      <c r="V18" s="430"/>
      <c r="W18" s="430"/>
      <c r="X18" s="430"/>
      <c r="Y18" s="430"/>
    </row>
    <row r="19" spans="1:28" ht="25.5" customHeight="1" x14ac:dyDescent="0.25">
      <c r="A19" s="430" t="s">
        <v>387</v>
      </c>
      <c r="B19" s="430"/>
      <c r="C19" s="430"/>
      <c r="D19" s="430"/>
      <c r="E19" s="430"/>
      <c r="F19" s="430"/>
      <c r="G19" s="430"/>
      <c r="H19" s="430"/>
      <c r="I19" s="430"/>
      <c r="J19" s="430"/>
      <c r="K19" s="430"/>
      <c r="L19" s="430"/>
      <c r="M19" s="430"/>
      <c r="N19" s="430"/>
      <c r="O19" s="430"/>
      <c r="P19" s="430"/>
      <c r="Q19" s="430"/>
      <c r="R19" s="430"/>
      <c r="S19" s="430"/>
      <c r="T19" s="430"/>
      <c r="U19" s="430"/>
      <c r="V19" s="430"/>
      <c r="W19" s="430"/>
      <c r="X19" s="430"/>
      <c r="Y19" s="430"/>
      <c r="Z19" s="430"/>
      <c r="AA19" s="430"/>
    </row>
    <row r="20" spans="1:28" s="54" customFormat="1" ht="21" customHeight="1" x14ac:dyDescent="0.25"/>
    <row r="21" spans="1:28" ht="15.75" customHeight="1" x14ac:dyDescent="0.25">
      <c r="A21" s="472" t="s">
        <v>2</v>
      </c>
      <c r="B21" s="472" t="s">
        <v>394</v>
      </c>
      <c r="C21" s="472"/>
      <c r="D21" s="472" t="s">
        <v>396</v>
      </c>
      <c r="E21" s="472"/>
      <c r="F21" s="472" t="s">
        <v>87</v>
      </c>
      <c r="G21" s="472"/>
      <c r="H21" s="472"/>
      <c r="I21" s="472"/>
      <c r="J21" s="472" t="s">
        <v>397</v>
      </c>
      <c r="K21" s="472" t="s">
        <v>398</v>
      </c>
      <c r="L21" s="472"/>
      <c r="M21" s="472" t="s">
        <v>399</v>
      </c>
      <c r="N21" s="472"/>
      <c r="O21" s="472" t="s">
        <v>386</v>
      </c>
      <c r="P21" s="472"/>
      <c r="Q21" s="472" t="s">
        <v>120</v>
      </c>
      <c r="R21" s="472"/>
      <c r="S21" s="472" t="s">
        <v>119</v>
      </c>
      <c r="T21" s="472" t="s">
        <v>400</v>
      </c>
      <c r="U21" s="472" t="s">
        <v>395</v>
      </c>
      <c r="V21" s="472" t="s">
        <v>118</v>
      </c>
      <c r="W21" s="472"/>
      <c r="X21" s="472" t="s">
        <v>110</v>
      </c>
      <c r="Y21" s="472"/>
      <c r="Z21" s="472" t="s">
        <v>109</v>
      </c>
      <c r="AA21" s="472"/>
    </row>
    <row r="22" spans="1:28" ht="216" customHeight="1" x14ac:dyDescent="0.25">
      <c r="A22" s="472"/>
      <c r="B22" s="472"/>
      <c r="C22" s="472"/>
      <c r="D22" s="472"/>
      <c r="E22" s="472"/>
      <c r="F22" s="472" t="s">
        <v>117</v>
      </c>
      <c r="G22" s="472"/>
      <c r="H22" s="472" t="s">
        <v>116</v>
      </c>
      <c r="I22" s="472"/>
      <c r="J22" s="472"/>
      <c r="K22" s="472"/>
      <c r="L22" s="472"/>
      <c r="M22" s="472"/>
      <c r="N22" s="472"/>
      <c r="O22" s="472"/>
      <c r="P22" s="472"/>
      <c r="Q22" s="472"/>
      <c r="R22" s="472"/>
      <c r="S22" s="472"/>
      <c r="T22" s="472"/>
      <c r="U22" s="472"/>
      <c r="V22" s="472"/>
      <c r="W22" s="472"/>
      <c r="X22" s="290" t="s">
        <v>108</v>
      </c>
      <c r="Y22" s="290" t="s">
        <v>384</v>
      </c>
      <c r="Z22" s="290" t="s">
        <v>107</v>
      </c>
      <c r="AA22" s="290" t="s">
        <v>106</v>
      </c>
    </row>
    <row r="23" spans="1:28" ht="60" customHeight="1" x14ac:dyDescent="0.25">
      <c r="A23" s="472"/>
      <c r="B23" s="290" t="s">
        <v>104</v>
      </c>
      <c r="C23" s="290" t="s">
        <v>105</v>
      </c>
      <c r="D23" s="290" t="s">
        <v>104</v>
      </c>
      <c r="E23" s="290" t="s">
        <v>105</v>
      </c>
      <c r="F23" s="290" t="s">
        <v>104</v>
      </c>
      <c r="G23" s="290" t="s">
        <v>105</v>
      </c>
      <c r="H23" s="290" t="s">
        <v>104</v>
      </c>
      <c r="I23" s="290" t="s">
        <v>105</v>
      </c>
      <c r="J23" s="290" t="s">
        <v>104</v>
      </c>
      <c r="K23" s="290" t="s">
        <v>104</v>
      </c>
      <c r="L23" s="290" t="s">
        <v>105</v>
      </c>
      <c r="M23" s="290" t="s">
        <v>104</v>
      </c>
      <c r="N23" s="290" t="s">
        <v>105</v>
      </c>
      <c r="O23" s="290" t="s">
        <v>104</v>
      </c>
      <c r="P23" s="290" t="s">
        <v>105</v>
      </c>
      <c r="Q23" s="290" t="s">
        <v>104</v>
      </c>
      <c r="R23" s="290" t="s">
        <v>105</v>
      </c>
      <c r="S23" s="290" t="s">
        <v>104</v>
      </c>
      <c r="T23" s="290" t="s">
        <v>104</v>
      </c>
      <c r="U23" s="290" t="s">
        <v>104</v>
      </c>
      <c r="V23" s="290" t="s">
        <v>104</v>
      </c>
      <c r="W23" s="290" t="s">
        <v>105</v>
      </c>
      <c r="X23" s="290" t="s">
        <v>104</v>
      </c>
      <c r="Y23" s="290" t="s">
        <v>104</v>
      </c>
      <c r="Z23" s="290" t="s">
        <v>104</v>
      </c>
      <c r="AA23" s="290" t="s">
        <v>104</v>
      </c>
    </row>
    <row r="24" spans="1:28" x14ac:dyDescent="0.25">
      <c r="A24" s="292">
        <v>1</v>
      </c>
      <c r="B24" s="292">
        <v>2</v>
      </c>
      <c r="C24" s="292">
        <v>3</v>
      </c>
      <c r="D24" s="292">
        <v>4</v>
      </c>
      <c r="E24" s="292">
        <v>5</v>
      </c>
      <c r="F24" s="292">
        <v>6</v>
      </c>
      <c r="G24" s="292">
        <v>7</v>
      </c>
      <c r="H24" s="292">
        <v>8</v>
      </c>
      <c r="I24" s="292">
        <v>9</v>
      </c>
      <c r="J24" s="292">
        <v>10</v>
      </c>
      <c r="K24" s="292">
        <v>11</v>
      </c>
      <c r="L24" s="292">
        <v>12</v>
      </c>
      <c r="M24" s="292">
        <v>13</v>
      </c>
      <c r="N24" s="292">
        <v>14</v>
      </c>
      <c r="O24" s="292">
        <v>15</v>
      </c>
      <c r="P24" s="292">
        <v>16</v>
      </c>
      <c r="Q24" s="292">
        <v>19</v>
      </c>
      <c r="R24" s="292">
        <v>20</v>
      </c>
      <c r="S24" s="292">
        <v>21</v>
      </c>
      <c r="T24" s="292">
        <v>22</v>
      </c>
      <c r="U24" s="292">
        <v>23</v>
      </c>
      <c r="V24" s="292">
        <v>24</v>
      </c>
      <c r="W24" s="292">
        <v>25</v>
      </c>
      <c r="X24" s="292">
        <v>26</v>
      </c>
      <c r="Y24" s="292">
        <v>27</v>
      </c>
      <c r="Z24" s="292">
        <v>28</v>
      </c>
      <c r="AA24" s="292">
        <v>29</v>
      </c>
    </row>
    <row r="25" spans="1:28" s="395" customFormat="1" x14ac:dyDescent="0.25">
      <c r="A25" s="466">
        <v>1</v>
      </c>
      <c r="B25" s="460" t="s">
        <v>602</v>
      </c>
      <c r="C25" s="393" t="s">
        <v>603</v>
      </c>
      <c r="D25" s="473" t="str">
        <f t="shared" ref="D25" si="0">B25</f>
        <v>КЛ 0,23 кВ РП-6 - СП-52</v>
      </c>
      <c r="E25" s="394" t="str">
        <f>C25</f>
        <v>КЛ 0,4 кВ N0 ТП-517 - СП-172</v>
      </c>
      <c r="F25" s="469">
        <v>0.23</v>
      </c>
      <c r="G25" s="398">
        <v>0.4</v>
      </c>
      <c r="H25" s="469">
        <v>0.23</v>
      </c>
      <c r="I25" s="398">
        <v>0.4</v>
      </c>
      <c r="J25" s="469" t="s">
        <v>518</v>
      </c>
      <c r="K25" s="469" t="s">
        <v>294</v>
      </c>
      <c r="L25" s="469" t="s">
        <v>294</v>
      </c>
      <c r="M25" s="469" t="s">
        <v>571</v>
      </c>
      <c r="N25" s="394" t="s">
        <v>519</v>
      </c>
      <c r="O25" s="469" t="s">
        <v>507</v>
      </c>
      <c r="P25" s="469" t="s">
        <v>507</v>
      </c>
      <c r="Q25" s="471">
        <v>8.5000000000000006E-2</v>
      </c>
      <c r="R25" s="404">
        <v>0.13400000000000001</v>
      </c>
      <c r="S25" s="469" t="s">
        <v>294</v>
      </c>
      <c r="T25" s="469" t="s">
        <v>294</v>
      </c>
      <c r="U25" s="469" t="s">
        <v>294</v>
      </c>
      <c r="V25" s="469" t="s">
        <v>520</v>
      </c>
      <c r="W25" s="469" t="s">
        <v>520</v>
      </c>
      <c r="X25" s="469" t="s">
        <v>294</v>
      </c>
      <c r="Y25" s="469" t="s">
        <v>294</v>
      </c>
      <c r="Z25" s="473" t="s">
        <v>575</v>
      </c>
      <c r="AA25" s="473" t="s">
        <v>577</v>
      </c>
      <c r="AB25" s="395" t="s">
        <v>604</v>
      </c>
    </row>
    <row r="26" spans="1:28" s="395" customFormat="1" x14ac:dyDescent="0.25">
      <c r="A26" s="467"/>
      <c r="B26" s="461"/>
      <c r="C26" s="396" t="s">
        <v>605</v>
      </c>
      <c r="D26" s="474"/>
      <c r="E26" s="397" t="str">
        <f t="shared" ref="E26:E40" si="1">C26</f>
        <v>КЛ 0,4 кВ N0.1 СП-172 - ул. Леонова 26а</v>
      </c>
      <c r="F26" s="470"/>
      <c r="G26" s="398">
        <v>0.4</v>
      </c>
      <c r="H26" s="470"/>
      <c r="I26" s="398">
        <v>0.4</v>
      </c>
      <c r="J26" s="470"/>
      <c r="K26" s="470"/>
      <c r="L26" s="470"/>
      <c r="M26" s="470"/>
      <c r="N26" s="397" t="s">
        <v>606</v>
      </c>
      <c r="O26" s="470"/>
      <c r="P26" s="470"/>
      <c r="Q26" s="464"/>
      <c r="R26" s="405">
        <v>1.2999999999999999E-2</v>
      </c>
      <c r="S26" s="470"/>
      <c r="T26" s="470"/>
      <c r="U26" s="470"/>
      <c r="V26" s="470"/>
      <c r="W26" s="470"/>
      <c r="X26" s="470"/>
      <c r="Y26" s="470"/>
      <c r="Z26" s="474"/>
      <c r="AA26" s="474"/>
      <c r="AB26" s="395" t="s">
        <v>604</v>
      </c>
    </row>
    <row r="27" spans="1:28" s="395" customFormat="1" ht="30" x14ac:dyDescent="0.25">
      <c r="A27" s="467"/>
      <c r="B27" s="460" t="s">
        <v>608</v>
      </c>
      <c r="C27" s="396" t="s">
        <v>618</v>
      </c>
      <c r="D27" s="460" t="s">
        <v>522</v>
      </c>
      <c r="E27" s="396" t="str">
        <f t="shared" si="1"/>
        <v>КЛ 0,4 кВ N1 СП-172  - СП-2238 (СП-2238 (СП-1 0,4/0,23 кВ новый))</v>
      </c>
      <c r="F27" s="460">
        <v>0.23</v>
      </c>
      <c r="G27" s="396">
        <v>0.4</v>
      </c>
      <c r="H27" s="460">
        <v>0.23</v>
      </c>
      <c r="I27" s="396">
        <v>0.4</v>
      </c>
      <c r="J27" s="460" t="s">
        <v>518</v>
      </c>
      <c r="K27" s="460" t="s">
        <v>294</v>
      </c>
      <c r="L27" s="460" t="s">
        <v>294</v>
      </c>
      <c r="M27" s="460" t="s">
        <v>609</v>
      </c>
      <c r="N27" s="397" t="s">
        <v>519</v>
      </c>
      <c r="O27" s="460" t="s">
        <v>507</v>
      </c>
      <c r="P27" s="460" t="s">
        <v>507</v>
      </c>
      <c r="Q27" s="460">
        <v>0.32</v>
      </c>
      <c r="R27" s="405">
        <v>0.129</v>
      </c>
      <c r="S27" s="460" t="s">
        <v>294</v>
      </c>
      <c r="T27" s="460" t="s">
        <v>294</v>
      </c>
      <c r="U27" s="460" t="s">
        <v>294</v>
      </c>
      <c r="V27" s="460" t="s">
        <v>520</v>
      </c>
      <c r="W27" s="460" t="s">
        <v>520</v>
      </c>
      <c r="X27" s="460" t="s">
        <v>294</v>
      </c>
      <c r="Y27" s="460" t="s">
        <v>294</v>
      </c>
      <c r="Z27" s="460" t="s">
        <v>575</v>
      </c>
      <c r="AA27" s="460" t="s">
        <v>577</v>
      </c>
      <c r="AB27" s="395" t="s">
        <v>604</v>
      </c>
    </row>
    <row r="28" spans="1:28" s="395" customFormat="1" ht="30" x14ac:dyDescent="0.25">
      <c r="A28" s="467"/>
      <c r="B28" s="461"/>
      <c r="C28" s="396" t="s">
        <v>619</v>
      </c>
      <c r="D28" s="461"/>
      <c r="E28" s="396" t="str">
        <f t="shared" si="1"/>
        <v>КЛ 0,23 кВ N1.1 СП-2238 (СП-1 0,4/0,23 кВ новый)  - ул. К. Маркса 16</v>
      </c>
      <c r="F28" s="461"/>
      <c r="G28" s="396">
        <v>0.23</v>
      </c>
      <c r="H28" s="461"/>
      <c r="I28" s="396">
        <v>0.23</v>
      </c>
      <c r="J28" s="461"/>
      <c r="K28" s="461"/>
      <c r="L28" s="461"/>
      <c r="M28" s="461"/>
      <c r="N28" s="397" t="s">
        <v>610</v>
      </c>
      <c r="O28" s="461"/>
      <c r="P28" s="461"/>
      <c r="Q28" s="461"/>
      <c r="R28" s="405">
        <v>0.11700000000000001</v>
      </c>
      <c r="S28" s="461"/>
      <c r="T28" s="461"/>
      <c r="U28" s="461"/>
      <c r="V28" s="461"/>
      <c r="W28" s="461"/>
      <c r="X28" s="461"/>
      <c r="Y28" s="461"/>
      <c r="Z28" s="461"/>
      <c r="AA28" s="461"/>
      <c r="AB28" s="395" t="s">
        <v>604</v>
      </c>
    </row>
    <row r="29" spans="1:28" s="395" customFormat="1" ht="45" x14ac:dyDescent="0.25">
      <c r="A29" s="467"/>
      <c r="B29" s="461"/>
      <c r="C29" s="396" t="s">
        <v>620</v>
      </c>
      <c r="D29" s="461"/>
      <c r="E29" s="396" t="str">
        <f t="shared" si="1"/>
        <v>КЛ 0,23 кВ N1.2 СП-2238 (СП-1 0,4/0,23 кВ новый)  - ул. К. Маркса 3, Леонова 33-37</v>
      </c>
      <c r="F29" s="461"/>
      <c r="G29" s="396">
        <v>0.23</v>
      </c>
      <c r="H29" s="461"/>
      <c r="I29" s="396">
        <v>0.23</v>
      </c>
      <c r="J29" s="461"/>
      <c r="K29" s="461"/>
      <c r="L29" s="461"/>
      <c r="M29" s="461"/>
      <c r="N29" s="397" t="s">
        <v>611</v>
      </c>
      <c r="O29" s="461"/>
      <c r="P29" s="461"/>
      <c r="Q29" s="461"/>
      <c r="R29" s="405">
        <v>0.09</v>
      </c>
      <c r="S29" s="461"/>
      <c r="T29" s="461"/>
      <c r="U29" s="461"/>
      <c r="V29" s="461"/>
      <c r="W29" s="461"/>
      <c r="X29" s="461"/>
      <c r="Y29" s="461"/>
      <c r="Z29" s="461"/>
      <c r="AA29" s="461"/>
      <c r="AB29" s="395" t="s">
        <v>604</v>
      </c>
    </row>
    <row r="30" spans="1:28" s="395" customFormat="1" ht="30" x14ac:dyDescent="0.25">
      <c r="A30" s="467"/>
      <c r="B30" s="461"/>
      <c r="C30" s="396" t="s">
        <v>621</v>
      </c>
      <c r="D30" s="461"/>
      <c r="E30" s="396" t="str">
        <f t="shared" si="1"/>
        <v>КЛ 0,23 кВ N1.3 СП-2238 (СП-1 0,4/0,23 кВ новый)  - ул. К. Маркса 5-11</v>
      </c>
      <c r="F30" s="461"/>
      <c r="G30" s="396">
        <v>0.23</v>
      </c>
      <c r="H30" s="461"/>
      <c r="I30" s="396">
        <v>0.23</v>
      </c>
      <c r="J30" s="461"/>
      <c r="K30" s="461"/>
      <c r="L30" s="461"/>
      <c r="M30" s="461"/>
      <c r="N30" s="397" t="s">
        <v>610</v>
      </c>
      <c r="O30" s="461"/>
      <c r="P30" s="461"/>
      <c r="Q30" s="461"/>
      <c r="R30" s="405">
        <v>0.16700000000000001</v>
      </c>
      <c r="S30" s="461"/>
      <c r="T30" s="461"/>
      <c r="U30" s="461"/>
      <c r="V30" s="461"/>
      <c r="W30" s="461"/>
      <c r="X30" s="461"/>
      <c r="Y30" s="461"/>
      <c r="Z30" s="461"/>
      <c r="AA30" s="461"/>
      <c r="AB30" s="395" t="s">
        <v>604</v>
      </c>
    </row>
    <row r="31" spans="1:28" s="395" customFormat="1" ht="30" x14ac:dyDescent="0.25">
      <c r="A31" s="467"/>
      <c r="B31" s="462"/>
      <c r="C31" s="396" t="s">
        <v>622</v>
      </c>
      <c r="D31" s="462"/>
      <c r="E31" s="396" t="str">
        <f t="shared" si="1"/>
        <v>КЛ 0,23 кВ N1.4 СП-2238 (СП-1 0,4/0,23 кВ новый) - светофор</v>
      </c>
      <c r="F31" s="462"/>
      <c r="G31" s="396">
        <v>0.23</v>
      </c>
      <c r="H31" s="462"/>
      <c r="I31" s="396">
        <v>0.23</v>
      </c>
      <c r="J31" s="462"/>
      <c r="K31" s="462"/>
      <c r="L31" s="462"/>
      <c r="M31" s="462"/>
      <c r="N31" s="397" t="s">
        <v>607</v>
      </c>
      <c r="O31" s="462"/>
      <c r="P31" s="462"/>
      <c r="Q31" s="462"/>
      <c r="R31" s="405">
        <v>1.6E-2</v>
      </c>
      <c r="S31" s="462"/>
      <c r="T31" s="462"/>
      <c r="U31" s="462"/>
      <c r="V31" s="462"/>
      <c r="W31" s="462"/>
      <c r="X31" s="462"/>
      <c r="Y31" s="462"/>
      <c r="Z31" s="462"/>
      <c r="AA31" s="462"/>
      <c r="AB31" s="395" t="s">
        <v>604</v>
      </c>
    </row>
    <row r="32" spans="1:28" s="395" customFormat="1" ht="30" x14ac:dyDescent="0.25">
      <c r="A32" s="467"/>
      <c r="B32" s="460" t="s">
        <v>612</v>
      </c>
      <c r="C32" s="396" t="s">
        <v>623</v>
      </c>
      <c r="D32" s="460" t="s">
        <v>523</v>
      </c>
      <c r="E32" s="397" t="str">
        <f t="shared" si="1"/>
        <v>КЛ 0,4 кВ N2 ТП-517 - СП-2239 (СП-2 0,4/0,23 кВ новый)</v>
      </c>
      <c r="F32" s="460">
        <v>0.23</v>
      </c>
      <c r="G32" s="396">
        <v>0.4</v>
      </c>
      <c r="H32" s="460">
        <v>0.23</v>
      </c>
      <c r="I32" s="396">
        <v>0.4</v>
      </c>
      <c r="J32" s="460" t="s">
        <v>518</v>
      </c>
      <c r="K32" s="460" t="s">
        <v>294</v>
      </c>
      <c r="L32" s="460" t="s">
        <v>294</v>
      </c>
      <c r="M32" s="460" t="s">
        <v>613</v>
      </c>
      <c r="N32" s="397" t="s">
        <v>519</v>
      </c>
      <c r="O32" s="460" t="s">
        <v>507</v>
      </c>
      <c r="P32" s="460" t="s">
        <v>507</v>
      </c>
      <c r="Q32" s="460">
        <v>0.42</v>
      </c>
      <c r="R32" s="405">
        <v>0.20399999999999999</v>
      </c>
      <c r="S32" s="460" t="s">
        <v>294</v>
      </c>
      <c r="T32" s="460" t="s">
        <v>294</v>
      </c>
      <c r="U32" s="460" t="s">
        <v>294</v>
      </c>
      <c r="V32" s="460" t="s">
        <v>520</v>
      </c>
      <c r="W32" s="460" t="s">
        <v>520</v>
      </c>
      <c r="X32" s="460" t="s">
        <v>294</v>
      </c>
      <c r="Y32" s="460" t="s">
        <v>294</v>
      </c>
      <c r="Z32" s="460" t="s">
        <v>575</v>
      </c>
      <c r="AA32" s="460" t="s">
        <v>577</v>
      </c>
      <c r="AB32" s="395" t="s">
        <v>604</v>
      </c>
    </row>
    <row r="33" spans="1:28" s="395" customFormat="1" ht="30" x14ac:dyDescent="0.25">
      <c r="A33" s="467"/>
      <c r="B33" s="461"/>
      <c r="C33" s="396" t="s">
        <v>624</v>
      </c>
      <c r="D33" s="461"/>
      <c r="E33" s="397" t="str">
        <f t="shared" si="1"/>
        <v>КЛ 0,23 кВ N2.0 СП-2239 (СП-2 0,4/0,23 кВ новый) - ул. Косм. Леонова 27а</v>
      </c>
      <c r="F33" s="461"/>
      <c r="G33" s="396">
        <v>0.23</v>
      </c>
      <c r="H33" s="461"/>
      <c r="I33" s="396">
        <v>0.23</v>
      </c>
      <c r="J33" s="461"/>
      <c r="K33" s="461"/>
      <c r="L33" s="461"/>
      <c r="M33" s="461"/>
      <c r="N33" s="397" t="s">
        <v>606</v>
      </c>
      <c r="O33" s="461"/>
      <c r="P33" s="461"/>
      <c r="Q33" s="461"/>
      <c r="R33" s="405">
        <v>0.10199999999999999</v>
      </c>
      <c r="S33" s="461"/>
      <c r="T33" s="461"/>
      <c r="U33" s="461"/>
      <c r="V33" s="461"/>
      <c r="W33" s="461"/>
      <c r="X33" s="461"/>
      <c r="Y33" s="461"/>
      <c r="Z33" s="461"/>
      <c r="AA33" s="461"/>
      <c r="AB33" s="395" t="s">
        <v>604</v>
      </c>
    </row>
    <row r="34" spans="1:28" s="395" customFormat="1" ht="30" x14ac:dyDescent="0.25">
      <c r="A34" s="467"/>
      <c r="B34" s="461"/>
      <c r="C34" s="396" t="s">
        <v>625</v>
      </c>
      <c r="D34" s="461"/>
      <c r="E34" s="397" t="str">
        <f t="shared" si="1"/>
        <v>КЛ 0,23 кВ N2.1 СП-2239 (СП-2 0,4/0,23 кВ новый) - ул. Косм. Леонова 27а</v>
      </c>
      <c r="F34" s="461"/>
      <c r="G34" s="396">
        <v>0.23</v>
      </c>
      <c r="H34" s="461"/>
      <c r="I34" s="396">
        <v>0.23</v>
      </c>
      <c r="J34" s="461"/>
      <c r="K34" s="461"/>
      <c r="L34" s="461"/>
      <c r="M34" s="461"/>
      <c r="N34" s="397" t="s">
        <v>606</v>
      </c>
      <c r="O34" s="461"/>
      <c r="P34" s="461"/>
      <c r="Q34" s="461"/>
      <c r="R34" s="405">
        <v>9.2999999999999999E-2</v>
      </c>
      <c r="S34" s="461"/>
      <c r="T34" s="461"/>
      <c r="U34" s="461"/>
      <c r="V34" s="461"/>
      <c r="W34" s="461"/>
      <c r="X34" s="461"/>
      <c r="Y34" s="461"/>
      <c r="Z34" s="461"/>
      <c r="AA34" s="461"/>
      <c r="AB34" s="395" t="s">
        <v>604</v>
      </c>
    </row>
    <row r="35" spans="1:28" s="395" customFormat="1" ht="30" x14ac:dyDescent="0.25">
      <c r="A35" s="467"/>
      <c r="B35" s="461"/>
      <c r="C35" s="396" t="s">
        <v>626</v>
      </c>
      <c r="D35" s="461"/>
      <c r="E35" s="397" t="str">
        <f t="shared" si="1"/>
        <v>КЛ 0,23 кВ N2.2 СП-2239 (СП-2 0,4/0,23 кВ новый) - ул. Косм. Леонова 27</v>
      </c>
      <c r="F35" s="461"/>
      <c r="G35" s="396">
        <v>0.23</v>
      </c>
      <c r="H35" s="461"/>
      <c r="I35" s="396">
        <v>0.23</v>
      </c>
      <c r="J35" s="461"/>
      <c r="K35" s="461"/>
      <c r="L35" s="461"/>
      <c r="M35" s="461"/>
      <c r="N35" s="397" t="s">
        <v>614</v>
      </c>
      <c r="O35" s="461"/>
      <c r="P35" s="461"/>
      <c r="Q35" s="461"/>
      <c r="R35" s="405">
        <v>5.0999999999999997E-2</v>
      </c>
      <c r="S35" s="461"/>
      <c r="T35" s="461"/>
      <c r="U35" s="461"/>
      <c r="V35" s="461"/>
      <c r="W35" s="461"/>
      <c r="X35" s="461"/>
      <c r="Y35" s="461"/>
      <c r="Z35" s="461"/>
      <c r="AA35" s="461"/>
      <c r="AB35" s="395" t="s">
        <v>604</v>
      </c>
    </row>
    <row r="36" spans="1:28" s="395" customFormat="1" ht="30" x14ac:dyDescent="0.25">
      <c r="A36" s="467"/>
      <c r="B36" s="461"/>
      <c r="C36" s="396" t="s">
        <v>627</v>
      </c>
      <c r="D36" s="461"/>
      <c r="E36" s="397" t="str">
        <f t="shared" si="1"/>
        <v>КЛ 0,23 кВ N2.3 СП-2239 (СП-2 0,4/0,23 кВ новый) - ул. Косм. Леонова 27</v>
      </c>
      <c r="F36" s="461"/>
      <c r="G36" s="396">
        <v>0.23</v>
      </c>
      <c r="H36" s="461"/>
      <c r="I36" s="396">
        <v>0.23</v>
      </c>
      <c r="J36" s="461"/>
      <c r="K36" s="461"/>
      <c r="L36" s="461"/>
      <c r="M36" s="461"/>
      <c r="N36" s="397" t="s">
        <v>614</v>
      </c>
      <c r="O36" s="461"/>
      <c r="P36" s="461"/>
      <c r="Q36" s="461"/>
      <c r="R36" s="405">
        <v>7.1999999999999995E-2</v>
      </c>
      <c r="S36" s="461"/>
      <c r="T36" s="461"/>
      <c r="U36" s="461"/>
      <c r="V36" s="461"/>
      <c r="W36" s="461"/>
      <c r="X36" s="461"/>
      <c r="Y36" s="461"/>
      <c r="Z36" s="461"/>
      <c r="AA36" s="461"/>
      <c r="AB36" s="395" t="s">
        <v>604</v>
      </c>
    </row>
    <row r="37" spans="1:28" s="395" customFormat="1" ht="30" x14ac:dyDescent="0.25">
      <c r="A37" s="467"/>
      <c r="B37" s="462"/>
      <c r="C37" s="396" t="s">
        <v>628</v>
      </c>
      <c r="D37" s="462"/>
      <c r="E37" s="397" t="str">
        <f t="shared" si="1"/>
        <v>КЛ 0,23 кВ N2.4 СП-2239 (СП-2 0,4/0,23 кВ новый) - ул. Косм. Леонова 20</v>
      </c>
      <c r="F37" s="462"/>
      <c r="G37" s="396">
        <v>0.23</v>
      </c>
      <c r="H37" s="462"/>
      <c r="I37" s="396">
        <v>0.23</v>
      </c>
      <c r="J37" s="462"/>
      <c r="K37" s="462"/>
      <c r="L37" s="462"/>
      <c r="M37" s="462"/>
      <c r="N37" s="397" t="s">
        <v>611</v>
      </c>
      <c r="O37" s="462"/>
      <c r="P37" s="462"/>
      <c r="Q37" s="462"/>
      <c r="R37" s="405">
        <v>0.13800000000000001</v>
      </c>
      <c r="S37" s="462"/>
      <c r="T37" s="462"/>
      <c r="U37" s="462"/>
      <c r="V37" s="462"/>
      <c r="W37" s="462"/>
      <c r="X37" s="462"/>
      <c r="Y37" s="462"/>
      <c r="Z37" s="462"/>
      <c r="AA37" s="462"/>
      <c r="AB37" s="395" t="s">
        <v>604</v>
      </c>
    </row>
    <row r="38" spans="1:28" s="395" customFormat="1" ht="30" x14ac:dyDescent="0.25">
      <c r="A38" s="467"/>
      <c r="B38" s="460" t="s">
        <v>615</v>
      </c>
      <c r="C38" s="396" t="s">
        <v>629</v>
      </c>
      <c r="D38" s="460" t="str">
        <f>B38</f>
        <v>КЛ 0,23 кВ СП-116 - Чайковского 66-64</v>
      </c>
      <c r="E38" s="397" t="str">
        <f t="shared" si="1"/>
        <v>КЛ 0,4 кВ N3 СП-2239 (СП-2 0,4/0,23 кВ новый) - СП-2240 (СП-3 0,23 кВ новый)</v>
      </c>
      <c r="F38" s="460">
        <v>0.23</v>
      </c>
      <c r="G38" s="396">
        <v>0.23</v>
      </c>
      <c r="H38" s="460">
        <v>0.23</v>
      </c>
      <c r="I38" s="396">
        <v>0.23</v>
      </c>
      <c r="J38" s="460" t="s">
        <v>518</v>
      </c>
      <c r="K38" s="460" t="s">
        <v>294</v>
      </c>
      <c r="L38" s="460" t="s">
        <v>294</v>
      </c>
      <c r="M38" s="460" t="s">
        <v>609</v>
      </c>
      <c r="N38" s="397" t="s">
        <v>616</v>
      </c>
      <c r="O38" s="460" t="s">
        <v>507</v>
      </c>
      <c r="P38" s="460" t="s">
        <v>507</v>
      </c>
      <c r="Q38" s="463">
        <v>0.23</v>
      </c>
      <c r="R38" s="405">
        <v>0.12</v>
      </c>
      <c r="S38" s="460" t="s">
        <v>294</v>
      </c>
      <c r="T38" s="460" t="s">
        <v>294</v>
      </c>
      <c r="U38" s="460" t="s">
        <v>294</v>
      </c>
      <c r="V38" s="460" t="s">
        <v>520</v>
      </c>
      <c r="W38" s="460" t="s">
        <v>520</v>
      </c>
      <c r="X38" s="460" t="s">
        <v>294</v>
      </c>
      <c r="Y38" s="460" t="s">
        <v>294</v>
      </c>
      <c r="Z38" s="460" t="s">
        <v>575</v>
      </c>
      <c r="AA38" s="460" t="s">
        <v>577</v>
      </c>
      <c r="AB38" s="395" t="s">
        <v>604</v>
      </c>
    </row>
    <row r="39" spans="1:28" s="395" customFormat="1" ht="30" x14ac:dyDescent="0.25">
      <c r="A39" s="467"/>
      <c r="B39" s="461"/>
      <c r="C39" s="396" t="s">
        <v>630</v>
      </c>
      <c r="D39" s="461"/>
      <c r="E39" s="397" t="str">
        <f t="shared" si="1"/>
        <v>КЛ 0,23 кВ N3.1 СП-2240 (СП-3 0,23 кВ новый) - ул.Чайковского 64</v>
      </c>
      <c r="F39" s="461"/>
      <c r="G39" s="396">
        <v>0.23</v>
      </c>
      <c r="H39" s="461"/>
      <c r="I39" s="396">
        <v>0.23</v>
      </c>
      <c r="J39" s="461"/>
      <c r="K39" s="461"/>
      <c r="L39" s="461"/>
      <c r="M39" s="461"/>
      <c r="N39" s="397" t="s">
        <v>614</v>
      </c>
      <c r="O39" s="461"/>
      <c r="P39" s="461"/>
      <c r="Q39" s="464"/>
      <c r="R39" s="405">
        <v>3.4000000000000002E-2</v>
      </c>
      <c r="S39" s="461"/>
      <c r="T39" s="461"/>
      <c r="U39" s="461"/>
      <c r="V39" s="461"/>
      <c r="W39" s="461"/>
      <c r="X39" s="461"/>
      <c r="Y39" s="461"/>
      <c r="Z39" s="461"/>
      <c r="AA39" s="461"/>
      <c r="AB39" s="395" t="s">
        <v>604</v>
      </c>
    </row>
    <row r="40" spans="1:28" s="395" customFormat="1" ht="30" x14ac:dyDescent="0.25">
      <c r="A40" s="468"/>
      <c r="B40" s="462"/>
      <c r="C40" s="396" t="s">
        <v>631</v>
      </c>
      <c r="D40" s="462"/>
      <c r="E40" s="397" t="str">
        <f t="shared" si="1"/>
        <v>КЛ 0,23 кВ N3.2 СП-2240 (СП-3 0,23 кВ новый) - ул.Чайковского 66</v>
      </c>
      <c r="F40" s="462"/>
      <c r="G40" s="396">
        <v>0.23</v>
      </c>
      <c r="H40" s="462"/>
      <c r="I40" s="396">
        <v>0.23</v>
      </c>
      <c r="J40" s="462"/>
      <c r="K40" s="462"/>
      <c r="L40" s="462"/>
      <c r="M40" s="462"/>
      <c r="N40" s="397" t="s">
        <v>614</v>
      </c>
      <c r="O40" s="462"/>
      <c r="P40" s="462"/>
      <c r="Q40" s="465"/>
      <c r="R40" s="405">
        <v>4.8000000000000001E-2</v>
      </c>
      <c r="S40" s="462"/>
      <c r="T40" s="462"/>
      <c r="U40" s="462"/>
      <c r="V40" s="462"/>
      <c r="W40" s="462"/>
      <c r="X40" s="462"/>
      <c r="Y40" s="462"/>
      <c r="Z40" s="462"/>
      <c r="AA40" s="462"/>
      <c r="AB40" s="395" t="s">
        <v>604</v>
      </c>
    </row>
    <row r="41" spans="1:28" s="54" customFormat="1" ht="75" x14ac:dyDescent="0.25">
      <c r="A41" s="399">
        <v>2</v>
      </c>
      <c r="B41" s="400" t="s">
        <v>574</v>
      </c>
      <c r="C41" s="400" t="s">
        <v>525</v>
      </c>
      <c r="D41" s="400" t="s">
        <v>574</v>
      </c>
      <c r="E41" s="400" t="s">
        <v>525</v>
      </c>
      <c r="F41" s="399">
        <v>6</v>
      </c>
      <c r="G41" s="399">
        <v>6</v>
      </c>
      <c r="H41" s="399">
        <v>6</v>
      </c>
      <c r="I41" s="399">
        <v>6</v>
      </c>
      <c r="J41" s="398" t="s">
        <v>518</v>
      </c>
      <c r="K41" s="399">
        <v>1</v>
      </c>
      <c r="L41" s="399">
        <v>1</v>
      </c>
      <c r="M41" s="399" t="s">
        <v>294</v>
      </c>
      <c r="N41" s="397" t="s">
        <v>571</v>
      </c>
      <c r="O41" s="398" t="s">
        <v>507</v>
      </c>
      <c r="P41" s="399" t="s">
        <v>507</v>
      </c>
      <c r="Q41" s="401" t="s">
        <v>294</v>
      </c>
      <c r="R41" s="402">
        <v>1.6E-2</v>
      </c>
      <c r="S41" s="399" t="s">
        <v>294</v>
      </c>
      <c r="T41" s="399" t="s">
        <v>294</v>
      </c>
      <c r="U41" s="399" t="s">
        <v>294</v>
      </c>
      <c r="V41" s="398" t="s">
        <v>520</v>
      </c>
      <c r="W41" s="398" t="s">
        <v>520</v>
      </c>
      <c r="X41" s="399" t="s">
        <v>294</v>
      </c>
      <c r="Y41" s="399" t="s">
        <v>294</v>
      </c>
      <c r="Z41" s="397" t="s">
        <v>575</v>
      </c>
      <c r="AA41" s="397" t="s">
        <v>577</v>
      </c>
      <c r="AB41" s="54" t="s">
        <v>617</v>
      </c>
    </row>
    <row r="42" spans="1:28" s="54" customFormat="1" ht="75" x14ac:dyDescent="0.25">
      <c r="A42" s="399">
        <v>3</v>
      </c>
      <c r="B42" s="400" t="s">
        <v>526</v>
      </c>
      <c r="C42" s="400" t="s">
        <v>527</v>
      </c>
      <c r="D42" s="400" t="s">
        <v>526</v>
      </c>
      <c r="E42" s="400" t="s">
        <v>527</v>
      </c>
      <c r="F42" s="399">
        <v>6</v>
      </c>
      <c r="G42" s="399">
        <v>6</v>
      </c>
      <c r="H42" s="399">
        <v>6</v>
      </c>
      <c r="I42" s="399">
        <v>6</v>
      </c>
      <c r="J42" s="398" t="s">
        <v>518</v>
      </c>
      <c r="K42" s="399">
        <v>1</v>
      </c>
      <c r="L42" s="399">
        <v>1</v>
      </c>
      <c r="M42" s="399" t="s">
        <v>294</v>
      </c>
      <c r="N42" s="397" t="s">
        <v>572</v>
      </c>
      <c r="O42" s="398" t="s">
        <v>507</v>
      </c>
      <c r="P42" s="399" t="s">
        <v>507</v>
      </c>
      <c r="Q42" s="401" t="s">
        <v>294</v>
      </c>
      <c r="R42" s="402">
        <v>0.49299999999999999</v>
      </c>
      <c r="S42" s="399" t="s">
        <v>294</v>
      </c>
      <c r="T42" s="399" t="s">
        <v>294</v>
      </c>
      <c r="U42" s="399" t="s">
        <v>294</v>
      </c>
      <c r="V42" s="398" t="s">
        <v>520</v>
      </c>
      <c r="W42" s="398" t="s">
        <v>520</v>
      </c>
      <c r="X42" s="399" t="s">
        <v>294</v>
      </c>
      <c r="Y42" s="399" t="s">
        <v>294</v>
      </c>
      <c r="Z42" s="397" t="s">
        <v>575</v>
      </c>
      <c r="AA42" s="397" t="s">
        <v>577</v>
      </c>
      <c r="AB42" s="54" t="s">
        <v>617</v>
      </c>
    </row>
    <row r="43" spans="1:28" x14ac:dyDescent="0.25">
      <c r="Q43" s="47">
        <f>SUM(Q25:Q42)</f>
        <v>1.0549999999999999</v>
      </c>
      <c r="R43" s="47">
        <f>SUM(R25:R42)</f>
        <v>2.0370000000000004</v>
      </c>
      <c r="S43" s="47">
        <f>R43-Q43</f>
        <v>0.98200000000000043</v>
      </c>
    </row>
    <row r="45" spans="1:28" x14ac:dyDescent="0.25">
      <c r="P45" s="47">
        <v>0.4</v>
      </c>
      <c r="R45" s="47">
        <f>SUMIF(I25:I42,P45,R25:R42)</f>
        <v>0.48</v>
      </c>
      <c r="S45" s="47">
        <f t="shared" ref="S45:S47" si="2">R45-Q45</f>
        <v>0.48</v>
      </c>
    </row>
    <row r="46" spans="1:28" x14ac:dyDescent="0.25">
      <c r="P46" s="47">
        <v>0.23</v>
      </c>
      <c r="Q46" s="47">
        <f>Q43</f>
        <v>1.0549999999999999</v>
      </c>
      <c r="R46" s="47">
        <f>SUMIF(I25:I42,P46,R25:R42)</f>
        <v>1.048</v>
      </c>
      <c r="S46" s="47">
        <f t="shared" si="2"/>
        <v>-6.9999999999998952E-3</v>
      </c>
    </row>
    <row r="47" spans="1:28" x14ac:dyDescent="0.25">
      <c r="P47" s="47">
        <v>6</v>
      </c>
      <c r="R47" s="47">
        <f>SUMIF(I25:I42,P47,R25:R42)</f>
        <v>0.50900000000000001</v>
      </c>
      <c r="S47" s="47">
        <f t="shared" si="2"/>
        <v>0.50900000000000001</v>
      </c>
    </row>
  </sheetData>
  <mergeCells count="108">
    <mergeCell ref="Y25:Y26"/>
    <mergeCell ref="Z25:Z26"/>
    <mergeCell ref="AA25:AA26"/>
    <mergeCell ref="A5:AA5"/>
    <mergeCell ref="A15:AA15"/>
    <mergeCell ref="A12:AA12"/>
    <mergeCell ref="A9:AA9"/>
    <mergeCell ref="A10:AA10"/>
    <mergeCell ref="A7:AA7"/>
    <mergeCell ref="A13:AA13"/>
    <mergeCell ref="M21:N22"/>
    <mergeCell ref="Q21:R22"/>
    <mergeCell ref="S21:S22"/>
    <mergeCell ref="T21:T22"/>
    <mergeCell ref="D25:D26"/>
    <mergeCell ref="F25:F26"/>
    <mergeCell ref="H25:H26"/>
    <mergeCell ref="A16:AA16"/>
    <mergeCell ref="Z21:AA21"/>
    <mergeCell ref="U21:U22"/>
    <mergeCell ref="A19:AA19"/>
    <mergeCell ref="O21:P22"/>
    <mergeCell ref="E18:Y18"/>
    <mergeCell ref="A21:A23"/>
    <mergeCell ref="D21:E22"/>
    <mergeCell ref="F21:I21"/>
    <mergeCell ref="J21:J22"/>
    <mergeCell ref="K21:L22"/>
    <mergeCell ref="F22:G22"/>
    <mergeCell ref="H22:I22"/>
    <mergeCell ref="B21:C22"/>
    <mergeCell ref="X21:Y21"/>
    <mergeCell ref="V21:W22"/>
    <mergeCell ref="A25:A40"/>
    <mergeCell ref="B25:B26"/>
    <mergeCell ref="V25:V26"/>
    <mergeCell ref="W25:W26"/>
    <mergeCell ref="X25:X26"/>
    <mergeCell ref="P25:P26"/>
    <mergeCell ref="Q25:Q26"/>
    <mergeCell ref="S25:S26"/>
    <mergeCell ref="T25:T26"/>
    <mergeCell ref="U25:U26"/>
    <mergeCell ref="J25:J26"/>
    <mergeCell ref="K25:K26"/>
    <mergeCell ref="L25:L26"/>
    <mergeCell ref="M25:M26"/>
    <mergeCell ref="O25:O26"/>
    <mergeCell ref="K27:K31"/>
    <mergeCell ref="L27:L31"/>
    <mergeCell ref="M27:M31"/>
    <mergeCell ref="O27:O31"/>
    <mergeCell ref="P27:P31"/>
    <mergeCell ref="B27:B31"/>
    <mergeCell ref="D27:D31"/>
    <mergeCell ref="F27:F31"/>
    <mergeCell ref="H27:H31"/>
    <mergeCell ref="J27:J31"/>
    <mergeCell ref="W27:W31"/>
    <mergeCell ref="X27:X31"/>
    <mergeCell ref="Y27:Y31"/>
    <mergeCell ref="Z27:Z31"/>
    <mergeCell ref="AA27:AA31"/>
    <mergeCell ref="Q27:Q31"/>
    <mergeCell ref="S27:S31"/>
    <mergeCell ref="T27:T31"/>
    <mergeCell ref="U27:U31"/>
    <mergeCell ref="V27:V31"/>
    <mergeCell ref="K32:K37"/>
    <mergeCell ref="L32:L37"/>
    <mergeCell ref="M32:M37"/>
    <mergeCell ref="O32:O37"/>
    <mergeCell ref="P32:P37"/>
    <mergeCell ref="B32:B37"/>
    <mergeCell ref="D32:D37"/>
    <mergeCell ref="F32:F37"/>
    <mergeCell ref="H32:H37"/>
    <mergeCell ref="J32:J37"/>
    <mergeCell ref="W32:W37"/>
    <mergeCell ref="X32:X37"/>
    <mergeCell ref="Y32:Y37"/>
    <mergeCell ref="Z32:Z37"/>
    <mergeCell ref="AA32:AA37"/>
    <mergeCell ref="Q32:Q37"/>
    <mergeCell ref="S32:S37"/>
    <mergeCell ref="T32:T37"/>
    <mergeCell ref="U32:U37"/>
    <mergeCell ref="V32:V37"/>
    <mergeCell ref="K38:K40"/>
    <mergeCell ref="L38:L40"/>
    <mergeCell ref="M38:M40"/>
    <mergeCell ref="O38:O40"/>
    <mergeCell ref="P38:P40"/>
    <mergeCell ref="B38:B40"/>
    <mergeCell ref="D38:D40"/>
    <mergeCell ref="F38:F40"/>
    <mergeCell ref="H38:H40"/>
    <mergeCell ref="J38:J40"/>
    <mergeCell ref="W38:W40"/>
    <mergeCell ref="X38:X40"/>
    <mergeCell ref="Y38:Y40"/>
    <mergeCell ref="Z38:Z40"/>
    <mergeCell ref="AA38:AA40"/>
    <mergeCell ref="Q38:Q40"/>
    <mergeCell ref="S38:S40"/>
    <mergeCell ref="T38:T40"/>
    <mergeCell ref="U38:U40"/>
    <mergeCell ref="V38:V40"/>
  </mergeCells>
  <pageMargins left="0.78740157480314965" right="0.59055118110236227"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5"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4"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7"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27" t="str">
        <f>'1. паспорт местоположение'!A5:C5</f>
        <v>Год раскрытия информации: 2025 год</v>
      </c>
      <c r="B5" s="427"/>
      <c r="C5" s="427"/>
      <c r="D5" s="97"/>
      <c r="E5" s="97"/>
      <c r="F5" s="97"/>
      <c r="G5" s="97"/>
      <c r="H5" s="97"/>
      <c r="I5" s="97"/>
      <c r="J5" s="97"/>
      <c r="K5" s="97"/>
      <c r="L5" s="97"/>
      <c r="M5" s="97"/>
      <c r="N5" s="97"/>
      <c r="O5" s="97"/>
      <c r="P5" s="97"/>
      <c r="Q5" s="97"/>
      <c r="R5" s="97"/>
      <c r="S5" s="97"/>
      <c r="T5" s="97"/>
      <c r="U5" s="97"/>
      <c r="V5" s="97"/>
      <c r="W5" s="97"/>
      <c r="X5" s="97"/>
      <c r="Y5" s="97"/>
      <c r="Z5" s="97"/>
      <c r="AA5" s="97"/>
      <c r="AB5" s="97"/>
      <c r="AC5" s="97"/>
    </row>
    <row r="6" spans="1:29" s="11" customFormat="1" ht="18.75" x14ac:dyDescent="0.3">
      <c r="A6" s="16"/>
      <c r="E6" s="15"/>
      <c r="F6" s="15"/>
      <c r="G6" s="14"/>
    </row>
    <row r="7" spans="1:29" s="11" customFormat="1" ht="18.75" x14ac:dyDescent="0.2">
      <c r="A7" s="431" t="s">
        <v>6</v>
      </c>
      <c r="B7" s="431"/>
      <c r="C7" s="431"/>
      <c r="D7" s="12"/>
      <c r="E7" s="12"/>
      <c r="F7" s="12"/>
      <c r="G7" s="12"/>
      <c r="H7" s="12"/>
      <c r="I7" s="12"/>
      <c r="J7" s="12"/>
      <c r="K7" s="12"/>
      <c r="L7" s="12"/>
      <c r="M7" s="12"/>
      <c r="N7" s="12"/>
      <c r="O7" s="12"/>
      <c r="P7" s="12"/>
      <c r="Q7" s="12"/>
      <c r="R7" s="12"/>
      <c r="S7" s="12"/>
      <c r="T7" s="12"/>
      <c r="U7" s="12"/>
    </row>
    <row r="8" spans="1:29" s="11" customFormat="1" ht="18.75" x14ac:dyDescent="0.2">
      <c r="A8" s="431"/>
      <c r="B8" s="431"/>
      <c r="C8" s="431"/>
      <c r="D8" s="13"/>
      <c r="E8" s="13"/>
      <c r="F8" s="13"/>
      <c r="G8" s="13"/>
      <c r="H8" s="12"/>
      <c r="I8" s="12"/>
      <c r="J8" s="12"/>
      <c r="K8" s="12"/>
      <c r="L8" s="12"/>
      <c r="M8" s="12"/>
      <c r="N8" s="12"/>
      <c r="O8" s="12"/>
      <c r="P8" s="12"/>
      <c r="Q8" s="12"/>
      <c r="R8" s="12"/>
      <c r="S8" s="12"/>
      <c r="T8" s="12"/>
      <c r="U8" s="12"/>
    </row>
    <row r="9" spans="1:29" s="11" customFormat="1" ht="18.75" x14ac:dyDescent="0.2">
      <c r="A9" s="435" t="str">
        <f>'1. паспорт местоположение'!A9:C9</f>
        <v>Акционерное общество "Россети Янтарь" ДЗО  ПАО "Россети"</v>
      </c>
      <c r="B9" s="435"/>
      <c r="C9" s="435"/>
      <c r="D9" s="7"/>
      <c r="E9" s="7"/>
      <c r="F9" s="7"/>
      <c r="G9" s="7"/>
      <c r="H9" s="12"/>
      <c r="I9" s="12"/>
      <c r="J9" s="12"/>
      <c r="K9" s="12"/>
      <c r="L9" s="12"/>
      <c r="M9" s="12"/>
      <c r="N9" s="12"/>
      <c r="O9" s="12"/>
      <c r="P9" s="12"/>
      <c r="Q9" s="12"/>
      <c r="R9" s="12"/>
      <c r="S9" s="12"/>
      <c r="T9" s="12"/>
      <c r="U9" s="12"/>
    </row>
    <row r="10" spans="1:29" s="11" customFormat="1" ht="18.75" x14ac:dyDescent="0.2">
      <c r="A10" s="428" t="s">
        <v>5</v>
      </c>
      <c r="B10" s="428"/>
      <c r="C10" s="428"/>
      <c r="D10" s="5"/>
      <c r="E10" s="5"/>
      <c r="F10" s="5"/>
      <c r="G10" s="5"/>
      <c r="H10" s="12"/>
      <c r="I10" s="12"/>
      <c r="J10" s="12"/>
      <c r="K10" s="12"/>
      <c r="L10" s="12"/>
      <c r="M10" s="12"/>
      <c r="N10" s="12"/>
      <c r="O10" s="12"/>
      <c r="P10" s="12"/>
      <c r="Q10" s="12"/>
      <c r="R10" s="12"/>
      <c r="S10" s="12"/>
      <c r="T10" s="12"/>
      <c r="U10" s="12"/>
    </row>
    <row r="11" spans="1:29" s="11" customFormat="1" ht="18.75" x14ac:dyDescent="0.2">
      <c r="A11" s="431"/>
      <c r="B11" s="431"/>
      <c r="C11" s="431"/>
      <c r="D11" s="13"/>
      <c r="E11" s="13"/>
      <c r="F11" s="13"/>
      <c r="G11" s="13"/>
      <c r="H11" s="12"/>
      <c r="I11" s="12"/>
      <c r="J11" s="12"/>
      <c r="K11" s="12"/>
      <c r="L11" s="12"/>
      <c r="M11" s="12"/>
      <c r="N11" s="12"/>
      <c r="O11" s="12"/>
      <c r="P11" s="12"/>
      <c r="Q11" s="12"/>
      <c r="R11" s="12"/>
      <c r="S11" s="12"/>
      <c r="T11" s="12"/>
      <c r="U11" s="12"/>
    </row>
    <row r="12" spans="1:29" s="11" customFormat="1" ht="18.75" x14ac:dyDescent="0.2">
      <c r="A12" s="435" t="str">
        <f>'1. паспорт местоположение'!A12:C12</f>
        <v>N_19-1035-1</v>
      </c>
      <c r="B12" s="435"/>
      <c r="C12" s="435"/>
      <c r="D12" s="7"/>
      <c r="E12" s="7"/>
      <c r="F12" s="7"/>
      <c r="G12" s="7"/>
      <c r="H12" s="12"/>
      <c r="I12" s="12"/>
      <c r="J12" s="12"/>
      <c r="K12" s="12"/>
      <c r="L12" s="12"/>
      <c r="M12" s="12"/>
      <c r="N12" s="12"/>
      <c r="O12" s="12"/>
      <c r="P12" s="12"/>
      <c r="Q12" s="12"/>
      <c r="R12" s="12"/>
      <c r="S12" s="12"/>
      <c r="T12" s="12"/>
      <c r="U12" s="12"/>
    </row>
    <row r="13" spans="1:29" s="11" customFormat="1" ht="18.75" x14ac:dyDescent="0.2">
      <c r="A13" s="428" t="s">
        <v>4</v>
      </c>
      <c r="B13" s="428"/>
      <c r="C13" s="428"/>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39"/>
      <c r="B14" s="439"/>
      <c r="C14" s="439"/>
      <c r="D14" s="9"/>
      <c r="E14" s="9"/>
      <c r="F14" s="9"/>
      <c r="G14" s="9"/>
      <c r="H14" s="9"/>
      <c r="I14" s="9"/>
      <c r="J14" s="9"/>
      <c r="K14" s="9"/>
      <c r="L14" s="9"/>
      <c r="M14" s="9"/>
      <c r="N14" s="9"/>
      <c r="O14" s="9"/>
      <c r="P14" s="9"/>
      <c r="Q14" s="9"/>
      <c r="R14" s="9"/>
      <c r="S14" s="9"/>
      <c r="T14" s="9"/>
      <c r="U14" s="9"/>
    </row>
    <row r="15" spans="1:29" s="3" customFormat="1" ht="70.5" customHeight="1" x14ac:dyDescent="0.2">
      <c r="A15" s="440" t="str">
        <f>'1. паспорт местоположение'!A15:C15</f>
        <v>Реконструкция ЛЭП 0,23 кВ с переводом на напряжение 0,4 кВ: демонтаж ЛЭП 0,23 кВ протяженностью 1,055 км, строительство ЛЭП 0,4 кВ протяженностью 1,493 км, демонтаж ТП 6/0,23 кВ ТП-73 мощностью 0,15 МВА, демонтаж трансформатора 6/0,23 кВ  0,185 МВА в РП-VI, дооборудование резервной ячейки в РП-VI вакуумным выключателем 6 кВ и строительство 0,506 км кабельных линий 6 кВ в г. Калининграде</v>
      </c>
      <c r="B15" s="440"/>
      <c r="C15" s="440"/>
      <c r="D15" s="7"/>
      <c r="E15" s="7"/>
      <c r="F15" s="7"/>
      <c r="G15" s="7"/>
      <c r="H15" s="7"/>
      <c r="I15" s="7"/>
      <c r="J15" s="7"/>
      <c r="K15" s="7"/>
      <c r="L15" s="7"/>
      <c r="M15" s="7"/>
      <c r="N15" s="7"/>
      <c r="O15" s="7"/>
      <c r="P15" s="7"/>
      <c r="Q15" s="7"/>
      <c r="R15" s="7"/>
      <c r="S15" s="7"/>
      <c r="T15" s="7"/>
      <c r="U15" s="7"/>
    </row>
    <row r="16" spans="1:29" s="3" customFormat="1" ht="15" customHeight="1" x14ac:dyDescent="0.2">
      <c r="A16" s="428" t="s">
        <v>3</v>
      </c>
      <c r="B16" s="428"/>
      <c r="C16" s="428"/>
      <c r="D16" s="5"/>
      <c r="E16" s="5"/>
      <c r="F16" s="5"/>
      <c r="G16" s="5"/>
      <c r="H16" s="5"/>
      <c r="I16" s="5"/>
      <c r="J16" s="5"/>
      <c r="K16" s="5"/>
      <c r="L16" s="5"/>
      <c r="M16" s="5"/>
      <c r="N16" s="5"/>
      <c r="O16" s="5"/>
      <c r="P16" s="5"/>
      <c r="Q16" s="5"/>
      <c r="R16" s="5"/>
      <c r="S16" s="5"/>
      <c r="T16" s="5"/>
      <c r="U16" s="5"/>
    </row>
    <row r="17" spans="1:21" s="3" customFormat="1" ht="15" customHeight="1" x14ac:dyDescent="0.2">
      <c r="A17" s="441"/>
      <c r="B17" s="441"/>
      <c r="C17" s="441"/>
      <c r="D17" s="4"/>
      <c r="E17" s="4"/>
      <c r="F17" s="4"/>
      <c r="G17" s="4"/>
      <c r="H17" s="4"/>
      <c r="I17" s="4"/>
      <c r="J17" s="4"/>
      <c r="K17" s="4"/>
      <c r="L17" s="4"/>
      <c r="M17" s="4"/>
      <c r="N17" s="4"/>
      <c r="O17" s="4"/>
      <c r="P17" s="4"/>
      <c r="Q17" s="4"/>
      <c r="R17" s="4"/>
    </row>
    <row r="18" spans="1:21" s="3" customFormat="1" ht="27.75" customHeight="1" x14ac:dyDescent="0.2">
      <c r="A18" s="429" t="s">
        <v>379</v>
      </c>
      <c r="B18" s="429"/>
      <c r="C18" s="42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6" t="s">
        <v>63</v>
      </c>
      <c r="C20" s="35"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63.75" customHeight="1" x14ac:dyDescent="0.2">
      <c r="A22" s="23" t="s">
        <v>61</v>
      </c>
      <c r="B22" s="29" t="s">
        <v>392</v>
      </c>
      <c r="C22" s="359" t="s">
        <v>580</v>
      </c>
      <c r="D22" s="28"/>
      <c r="E22" s="28"/>
      <c r="F22" s="27"/>
      <c r="G22" s="27"/>
      <c r="H22" s="27"/>
      <c r="I22" s="27"/>
      <c r="J22" s="27"/>
      <c r="K22" s="27"/>
      <c r="L22" s="27"/>
      <c r="M22" s="27"/>
      <c r="N22" s="27"/>
      <c r="O22" s="27"/>
      <c r="P22" s="27"/>
      <c r="Q22" s="26"/>
      <c r="R22" s="26"/>
      <c r="S22" s="26"/>
      <c r="T22" s="26"/>
      <c r="U22" s="26"/>
    </row>
    <row r="23" spans="1:21" ht="94.5" x14ac:dyDescent="0.25">
      <c r="A23" s="23" t="s">
        <v>60</v>
      </c>
      <c r="B23" s="25" t="s">
        <v>57</v>
      </c>
      <c r="C23" s="330" t="s">
        <v>581</v>
      </c>
      <c r="D23" s="22"/>
      <c r="E23" s="22"/>
      <c r="F23" s="22"/>
      <c r="G23" s="22"/>
      <c r="H23" s="22"/>
      <c r="I23" s="22"/>
      <c r="J23" s="22"/>
      <c r="K23" s="22"/>
      <c r="L23" s="22"/>
      <c r="M23" s="22"/>
      <c r="N23" s="22"/>
      <c r="O23" s="22"/>
      <c r="P23" s="22"/>
      <c r="Q23" s="22"/>
      <c r="R23" s="22"/>
      <c r="S23" s="22"/>
      <c r="T23" s="22"/>
      <c r="U23" s="22"/>
    </row>
    <row r="24" spans="1:21" ht="94.5" x14ac:dyDescent="0.25">
      <c r="A24" s="23" t="s">
        <v>59</v>
      </c>
      <c r="B24" s="25" t="s">
        <v>412</v>
      </c>
      <c r="C24" s="360" t="s">
        <v>592</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413</v>
      </c>
      <c r="C25" s="361" t="s">
        <v>578</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206</v>
      </c>
      <c r="C26" s="362" t="s">
        <v>503</v>
      </c>
      <c r="D26" s="22"/>
      <c r="E26" s="22"/>
      <c r="F26" s="22"/>
      <c r="G26" s="22"/>
      <c r="H26" s="22"/>
      <c r="I26" s="22"/>
      <c r="J26" s="22"/>
      <c r="K26" s="22"/>
      <c r="L26" s="22"/>
      <c r="M26" s="22"/>
      <c r="N26" s="22"/>
      <c r="O26" s="22"/>
      <c r="P26" s="22"/>
      <c r="Q26" s="22"/>
      <c r="R26" s="22"/>
      <c r="S26" s="22"/>
      <c r="T26" s="22"/>
      <c r="U26" s="22"/>
    </row>
    <row r="27" spans="1:21" ht="346.5" x14ac:dyDescent="0.25">
      <c r="A27" s="23" t="s">
        <v>55</v>
      </c>
      <c r="B27" s="25" t="s">
        <v>393</v>
      </c>
      <c r="C27" s="360" t="s">
        <v>582</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8">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8">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34" t="s">
        <v>632</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46"/>
  <sheetViews>
    <sheetView view="pageBreakPreview" topLeftCell="E14" zoomScale="70" zoomScaleNormal="80" zoomScaleSheetLayoutView="70" workbookViewId="0">
      <selection activeCell="M27" sqref="M27"/>
    </sheetView>
  </sheetViews>
  <sheetFormatPr defaultRowHeight="15" x14ac:dyDescent="0.25"/>
  <cols>
    <col min="1" max="1" width="17.7109375" customWidth="1"/>
    <col min="2" max="2" width="28.5703125" customWidth="1"/>
    <col min="3" max="7" width="11" customWidth="1"/>
    <col min="8" max="8" width="15.140625" customWidth="1"/>
    <col min="9" max="9" width="15.7109375" customWidth="1"/>
    <col min="10" max="10" width="16.14062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5.5703125" customWidth="1"/>
    <col min="19" max="19" width="17" customWidth="1"/>
    <col min="20" max="20" width="16.42578125" customWidth="1"/>
    <col min="21" max="21" width="12" customWidth="1"/>
    <col min="22" max="22" width="11" customWidth="1"/>
    <col min="23" max="25" width="17.7109375" customWidth="1"/>
    <col min="26" max="26" width="46.5703125" customWidth="1"/>
    <col min="27" max="28" width="12.28515625" customWidth="1"/>
  </cols>
  <sheetData>
    <row r="1" spans="1:28" ht="18.75" x14ac:dyDescent="0.25">
      <c r="Z1" s="37" t="s">
        <v>65</v>
      </c>
    </row>
    <row r="2" spans="1:28" ht="18.75" x14ac:dyDescent="0.3">
      <c r="Z2" s="14" t="s">
        <v>7</v>
      </c>
    </row>
    <row r="3" spans="1:28" ht="18.75" x14ac:dyDescent="0.3">
      <c r="Z3" s="14" t="s">
        <v>64</v>
      </c>
    </row>
    <row r="4" spans="1:28" ht="18.75" customHeight="1" x14ac:dyDescent="0.25">
      <c r="A4" s="427" t="str">
        <f>'1. паспорт местоположение'!A5:C5</f>
        <v>Год раскрытия информации: 2025 год</v>
      </c>
      <c r="B4" s="427"/>
      <c r="C4" s="427"/>
      <c r="D4" s="427"/>
      <c r="E4" s="427"/>
      <c r="F4" s="427"/>
      <c r="G4" s="427"/>
      <c r="H4" s="427"/>
      <c r="I4" s="427"/>
      <c r="J4" s="427"/>
      <c r="K4" s="427"/>
      <c r="L4" s="427"/>
      <c r="M4" s="427"/>
      <c r="N4" s="427"/>
      <c r="O4" s="427"/>
      <c r="P4" s="427"/>
      <c r="Q4" s="427"/>
      <c r="R4" s="427"/>
      <c r="S4" s="427"/>
      <c r="T4" s="427"/>
      <c r="U4" s="427"/>
      <c r="V4" s="427"/>
      <c r="W4" s="427"/>
      <c r="X4" s="427"/>
      <c r="Y4" s="427"/>
      <c r="Z4" s="427"/>
    </row>
    <row r="6" spans="1:28" ht="18.75" x14ac:dyDescent="0.25">
      <c r="A6" s="431" t="s">
        <v>6</v>
      </c>
      <c r="B6" s="431"/>
      <c r="C6" s="431"/>
      <c r="D6" s="431"/>
      <c r="E6" s="431"/>
      <c r="F6" s="431"/>
      <c r="G6" s="431"/>
      <c r="H6" s="431"/>
      <c r="I6" s="431"/>
      <c r="J6" s="431"/>
      <c r="K6" s="431"/>
      <c r="L6" s="431"/>
      <c r="M6" s="431"/>
      <c r="N6" s="431"/>
      <c r="O6" s="431"/>
      <c r="P6" s="431"/>
      <c r="Q6" s="431"/>
      <c r="R6" s="431"/>
      <c r="S6" s="431"/>
      <c r="T6" s="431"/>
      <c r="U6" s="431"/>
      <c r="V6" s="431"/>
      <c r="W6" s="431"/>
      <c r="X6" s="431"/>
      <c r="Y6" s="431"/>
      <c r="Z6" s="431"/>
      <c r="AA6" s="92"/>
      <c r="AB6" s="92"/>
    </row>
    <row r="7" spans="1:28" ht="18.75" x14ac:dyDescent="0.25">
      <c r="A7" s="431"/>
      <c r="B7" s="431"/>
      <c r="C7" s="431"/>
      <c r="D7" s="431"/>
      <c r="E7" s="431"/>
      <c r="F7" s="431"/>
      <c r="G7" s="431"/>
      <c r="H7" s="431"/>
      <c r="I7" s="431"/>
      <c r="J7" s="431"/>
      <c r="K7" s="431"/>
      <c r="L7" s="431"/>
      <c r="M7" s="431"/>
      <c r="N7" s="431"/>
      <c r="O7" s="431"/>
      <c r="P7" s="431"/>
      <c r="Q7" s="431"/>
      <c r="R7" s="431"/>
      <c r="S7" s="431"/>
      <c r="T7" s="431"/>
      <c r="U7" s="431"/>
      <c r="V7" s="431"/>
      <c r="W7" s="431"/>
      <c r="X7" s="431"/>
      <c r="Y7" s="431"/>
      <c r="Z7" s="431"/>
      <c r="AA7" s="92"/>
      <c r="AB7" s="92"/>
    </row>
    <row r="8" spans="1:28" x14ac:dyDescent="0.25">
      <c r="A8" s="457" t="str">
        <f>'[2]1. паспорт местоположение'!A9</f>
        <v>Акционерное общество "Янтарьэнерго" ДЗО  ПАО "Россети"</v>
      </c>
      <c r="B8" s="457"/>
      <c r="C8" s="457"/>
      <c r="D8" s="457"/>
      <c r="E8" s="457"/>
      <c r="F8" s="457"/>
      <c r="G8" s="457"/>
      <c r="H8" s="457"/>
      <c r="I8" s="457"/>
      <c r="J8" s="457"/>
      <c r="K8" s="457"/>
      <c r="L8" s="457"/>
      <c r="M8" s="457"/>
      <c r="N8" s="457"/>
      <c r="O8" s="457"/>
      <c r="P8" s="457"/>
      <c r="Q8" s="457"/>
      <c r="R8" s="457"/>
      <c r="S8" s="457"/>
      <c r="T8" s="457"/>
      <c r="U8" s="457"/>
      <c r="V8" s="457"/>
      <c r="W8" s="457"/>
      <c r="X8" s="457"/>
      <c r="Y8" s="457"/>
      <c r="Z8" s="457"/>
      <c r="AA8" s="93"/>
      <c r="AB8" s="93"/>
    </row>
    <row r="9" spans="1:28" ht="15.75" x14ac:dyDescent="0.25">
      <c r="A9" s="428" t="s">
        <v>5</v>
      </c>
      <c r="B9" s="428"/>
      <c r="C9" s="428"/>
      <c r="D9" s="428"/>
      <c r="E9" s="428"/>
      <c r="F9" s="428"/>
      <c r="G9" s="428"/>
      <c r="H9" s="428"/>
      <c r="I9" s="428"/>
      <c r="J9" s="428"/>
      <c r="K9" s="428"/>
      <c r="L9" s="428"/>
      <c r="M9" s="428"/>
      <c r="N9" s="428"/>
      <c r="O9" s="428"/>
      <c r="P9" s="428"/>
      <c r="Q9" s="428"/>
      <c r="R9" s="428"/>
      <c r="S9" s="428"/>
      <c r="T9" s="428"/>
      <c r="U9" s="428"/>
      <c r="V9" s="428"/>
      <c r="W9" s="428"/>
      <c r="X9" s="428"/>
      <c r="Y9" s="428"/>
      <c r="Z9" s="428"/>
      <c r="AA9" s="94"/>
      <c r="AB9" s="94"/>
    </row>
    <row r="10" spans="1:28" ht="18.75" x14ac:dyDescent="0.25">
      <c r="A10" s="431"/>
      <c r="B10" s="431"/>
      <c r="C10" s="431"/>
      <c r="D10" s="431"/>
      <c r="E10" s="431"/>
      <c r="F10" s="431"/>
      <c r="G10" s="431"/>
      <c r="H10" s="431"/>
      <c r="I10" s="431"/>
      <c r="J10" s="431"/>
      <c r="K10" s="431"/>
      <c r="L10" s="431"/>
      <c r="M10" s="431"/>
      <c r="N10" s="431"/>
      <c r="O10" s="431"/>
      <c r="P10" s="431"/>
      <c r="Q10" s="431"/>
      <c r="R10" s="431"/>
      <c r="S10" s="431"/>
      <c r="T10" s="431"/>
      <c r="U10" s="431"/>
      <c r="V10" s="431"/>
      <c r="W10" s="431"/>
      <c r="X10" s="431"/>
      <c r="Y10" s="431"/>
      <c r="Z10" s="431"/>
      <c r="AA10" s="92"/>
      <c r="AB10" s="92"/>
    </row>
    <row r="11" spans="1:28" x14ac:dyDescent="0.25">
      <c r="A11" s="457">
        <f>'[2]1. паспорт местоположение'!A12:C12</f>
        <v>0</v>
      </c>
      <c r="B11" s="457"/>
      <c r="C11" s="457"/>
      <c r="D11" s="457"/>
      <c r="E11" s="457"/>
      <c r="F11" s="457"/>
      <c r="G11" s="457"/>
      <c r="H11" s="457"/>
      <c r="I11" s="457"/>
      <c r="J11" s="457"/>
      <c r="K11" s="457"/>
      <c r="L11" s="457"/>
      <c r="M11" s="457"/>
      <c r="N11" s="457"/>
      <c r="O11" s="457"/>
      <c r="P11" s="457"/>
      <c r="Q11" s="457"/>
      <c r="R11" s="457"/>
      <c r="S11" s="457"/>
      <c r="T11" s="457"/>
      <c r="U11" s="457"/>
      <c r="V11" s="457"/>
      <c r="W11" s="457"/>
      <c r="X11" s="457"/>
      <c r="Y11" s="457"/>
      <c r="Z11" s="457"/>
      <c r="AA11" s="93"/>
      <c r="AB11" s="93"/>
    </row>
    <row r="12" spans="1:28" ht="15.75" x14ac:dyDescent="0.25">
      <c r="A12" s="428" t="s">
        <v>4</v>
      </c>
      <c r="B12" s="428"/>
      <c r="C12" s="428"/>
      <c r="D12" s="428"/>
      <c r="E12" s="428"/>
      <c r="F12" s="428"/>
      <c r="G12" s="428"/>
      <c r="H12" s="428"/>
      <c r="I12" s="428"/>
      <c r="J12" s="428"/>
      <c r="K12" s="428"/>
      <c r="L12" s="428"/>
      <c r="M12" s="428"/>
      <c r="N12" s="428"/>
      <c r="O12" s="428"/>
      <c r="P12" s="428"/>
      <c r="Q12" s="428"/>
      <c r="R12" s="428"/>
      <c r="S12" s="428"/>
      <c r="T12" s="428"/>
      <c r="U12" s="428"/>
      <c r="V12" s="428"/>
      <c r="W12" s="428"/>
      <c r="X12" s="428"/>
      <c r="Y12" s="428"/>
      <c r="Z12" s="428"/>
      <c r="AA12" s="94"/>
      <c r="AB12" s="94"/>
    </row>
    <row r="13" spans="1:28" ht="18.75" x14ac:dyDescent="0.25">
      <c r="A13" s="439"/>
      <c r="B13" s="439"/>
      <c r="C13" s="439"/>
      <c r="D13" s="439"/>
      <c r="E13" s="439"/>
      <c r="F13" s="439"/>
      <c r="G13" s="439"/>
      <c r="H13" s="439"/>
      <c r="I13" s="439"/>
      <c r="J13" s="439"/>
      <c r="K13" s="439"/>
      <c r="L13" s="439"/>
      <c r="M13" s="439"/>
      <c r="N13" s="439"/>
      <c r="O13" s="439"/>
      <c r="P13" s="439"/>
      <c r="Q13" s="439"/>
      <c r="R13" s="439"/>
      <c r="S13" s="439"/>
      <c r="T13" s="439"/>
      <c r="U13" s="439"/>
      <c r="V13" s="439"/>
      <c r="W13" s="439"/>
      <c r="X13" s="439"/>
      <c r="Y13" s="439"/>
      <c r="Z13" s="439"/>
      <c r="AA13" s="10"/>
      <c r="AB13" s="10"/>
    </row>
    <row r="14" spans="1:28" x14ac:dyDescent="0.25">
      <c r="A14" s="457" t="str">
        <f>'1. паспорт местоположение'!A15:C15</f>
        <v>Реконструкция ЛЭП 0,23 кВ с переводом на напряжение 0,4 кВ: демонтаж ЛЭП 0,23 кВ протяженностью 1,055 км, строительство ЛЭП 0,4 кВ протяженностью 1,493 км, демонтаж ТП 6/0,23 кВ ТП-73 мощностью 0,15 МВА, демонтаж трансформатора 6/0,23 кВ  0,185 МВА в РП-VI, дооборудование резервной ячейки в РП-VI вакуумным выключателем 6 кВ и строительство 0,506 км кабельных линий 6 кВ в г. Калининграде</v>
      </c>
      <c r="B14" s="457"/>
      <c r="C14" s="457"/>
      <c r="D14" s="457"/>
      <c r="E14" s="457"/>
      <c r="F14" s="457"/>
      <c r="G14" s="457"/>
      <c r="H14" s="457"/>
      <c r="I14" s="457"/>
      <c r="J14" s="457"/>
      <c r="K14" s="457"/>
      <c r="L14" s="457"/>
      <c r="M14" s="457"/>
      <c r="N14" s="457"/>
      <c r="O14" s="457"/>
      <c r="P14" s="457"/>
      <c r="Q14" s="457"/>
      <c r="R14" s="457"/>
      <c r="S14" s="457"/>
      <c r="T14" s="457"/>
      <c r="U14" s="457"/>
      <c r="V14" s="457"/>
      <c r="W14" s="457"/>
      <c r="X14" s="457"/>
      <c r="Y14" s="457"/>
      <c r="Z14" s="457"/>
      <c r="AA14" s="93"/>
      <c r="AB14" s="93"/>
    </row>
    <row r="15" spans="1:28" ht="15.75" x14ac:dyDescent="0.25">
      <c r="A15" s="428" t="s">
        <v>3</v>
      </c>
      <c r="B15" s="428"/>
      <c r="C15" s="428"/>
      <c r="D15" s="428"/>
      <c r="E15" s="428"/>
      <c r="F15" s="428"/>
      <c r="G15" s="428"/>
      <c r="H15" s="428"/>
      <c r="I15" s="428"/>
      <c r="J15" s="428"/>
      <c r="K15" s="428"/>
      <c r="L15" s="428"/>
      <c r="M15" s="428"/>
      <c r="N15" s="428"/>
      <c r="O15" s="428"/>
      <c r="P15" s="428"/>
      <c r="Q15" s="428"/>
      <c r="R15" s="428"/>
      <c r="S15" s="428"/>
      <c r="T15" s="428"/>
      <c r="U15" s="428"/>
      <c r="V15" s="428"/>
      <c r="W15" s="428"/>
      <c r="X15" s="428"/>
      <c r="Y15" s="428"/>
      <c r="Z15" s="428"/>
      <c r="AA15" s="94"/>
      <c r="AB15" s="94"/>
    </row>
    <row r="16" spans="1:28" x14ac:dyDescent="0.25">
      <c r="A16" s="479" t="s">
        <v>514</v>
      </c>
      <c r="B16" s="479"/>
      <c r="C16" s="479"/>
      <c r="D16" s="479"/>
      <c r="E16" s="479"/>
      <c r="F16" s="479"/>
      <c r="G16" s="479"/>
      <c r="H16" s="479"/>
      <c r="I16" s="479"/>
      <c r="J16" s="479"/>
      <c r="K16" s="479"/>
      <c r="L16" s="479"/>
      <c r="M16" s="479"/>
      <c r="N16" s="479"/>
      <c r="O16" s="479"/>
      <c r="P16" s="479"/>
      <c r="Q16" s="479"/>
      <c r="R16" s="479"/>
      <c r="S16" s="479"/>
      <c r="T16" s="479"/>
      <c r="U16" s="479"/>
      <c r="V16" s="479"/>
      <c r="W16" s="479"/>
      <c r="X16" s="479"/>
      <c r="Y16" s="479"/>
      <c r="Z16" s="479"/>
      <c r="AA16" s="98"/>
      <c r="AB16" s="98"/>
    </row>
    <row r="17" spans="1:28" x14ac:dyDescent="0.25">
      <c r="A17" s="479"/>
      <c r="B17" s="479"/>
      <c r="C17" s="479"/>
      <c r="D17" s="479"/>
      <c r="E17" s="479"/>
      <c r="F17" s="479"/>
      <c r="G17" s="479"/>
      <c r="H17" s="479"/>
      <c r="I17" s="479"/>
      <c r="J17" s="479"/>
      <c r="K17" s="479"/>
      <c r="L17" s="479"/>
      <c r="M17" s="479"/>
      <c r="N17" s="479"/>
      <c r="O17" s="479"/>
      <c r="P17" s="479"/>
      <c r="Q17" s="479"/>
      <c r="R17" s="479"/>
      <c r="S17" s="479"/>
      <c r="T17" s="479"/>
      <c r="U17" s="479"/>
      <c r="V17" s="479"/>
      <c r="W17" s="479"/>
      <c r="X17" s="479"/>
      <c r="Y17" s="479"/>
      <c r="Z17" s="479"/>
      <c r="AA17" s="98"/>
      <c r="AB17" s="98"/>
    </row>
    <row r="18" spans="1:28" x14ac:dyDescent="0.25">
      <c r="A18" s="479"/>
      <c r="B18" s="479"/>
      <c r="C18" s="479"/>
      <c r="D18" s="479"/>
      <c r="E18" s="479"/>
      <c r="F18" s="479"/>
      <c r="G18" s="479"/>
      <c r="H18" s="479"/>
      <c r="I18" s="479"/>
      <c r="J18" s="479"/>
      <c r="K18" s="479"/>
      <c r="L18" s="479"/>
      <c r="M18" s="479"/>
      <c r="N18" s="479"/>
      <c r="O18" s="479"/>
      <c r="P18" s="479"/>
      <c r="Q18" s="479"/>
      <c r="R18" s="479"/>
      <c r="S18" s="479"/>
      <c r="T18" s="479"/>
      <c r="U18" s="479"/>
      <c r="V18" s="479"/>
      <c r="W18" s="479"/>
      <c r="X18" s="479"/>
      <c r="Y18" s="479"/>
      <c r="Z18" s="479"/>
      <c r="AA18" s="98"/>
      <c r="AB18" s="98"/>
    </row>
    <row r="19" spans="1:28" x14ac:dyDescent="0.25">
      <c r="A19" s="479"/>
      <c r="B19" s="479"/>
      <c r="C19" s="479"/>
      <c r="D19" s="479"/>
      <c r="E19" s="479"/>
      <c r="F19" s="479"/>
      <c r="G19" s="479"/>
      <c r="H19" s="479"/>
      <c r="I19" s="479"/>
      <c r="J19" s="479"/>
      <c r="K19" s="479"/>
      <c r="L19" s="479"/>
      <c r="M19" s="479"/>
      <c r="N19" s="479"/>
      <c r="O19" s="479"/>
      <c r="P19" s="479"/>
      <c r="Q19" s="479"/>
      <c r="R19" s="479"/>
      <c r="S19" s="479"/>
      <c r="T19" s="479"/>
      <c r="U19" s="479"/>
      <c r="V19" s="479"/>
      <c r="W19" s="479"/>
      <c r="X19" s="479"/>
      <c r="Y19" s="479"/>
      <c r="Z19" s="479"/>
      <c r="AA19" s="98"/>
      <c r="AB19" s="98"/>
    </row>
    <row r="20" spans="1:28" x14ac:dyDescent="0.25">
      <c r="A20" s="480"/>
      <c r="B20" s="480"/>
      <c r="C20" s="480"/>
      <c r="D20" s="480"/>
      <c r="E20" s="480"/>
      <c r="F20" s="480"/>
      <c r="G20" s="480"/>
      <c r="H20" s="480"/>
      <c r="I20" s="480"/>
      <c r="J20" s="480"/>
      <c r="K20" s="480"/>
      <c r="L20" s="480"/>
      <c r="M20" s="480"/>
      <c r="N20" s="480"/>
      <c r="O20" s="480"/>
      <c r="P20" s="480"/>
      <c r="Q20" s="480"/>
      <c r="R20" s="480"/>
      <c r="S20" s="480"/>
      <c r="T20" s="480"/>
      <c r="U20" s="480"/>
      <c r="V20" s="480"/>
      <c r="W20" s="480"/>
      <c r="X20" s="480"/>
      <c r="Y20" s="480"/>
      <c r="Z20" s="480"/>
      <c r="AA20" s="99"/>
      <c r="AB20" s="99"/>
    </row>
    <row r="21" spans="1:28" x14ac:dyDescent="0.25">
      <c r="A21" s="480"/>
      <c r="B21" s="480"/>
      <c r="C21" s="480"/>
      <c r="D21" s="480"/>
      <c r="E21" s="480"/>
      <c r="F21" s="480"/>
      <c r="G21" s="480"/>
      <c r="H21" s="480"/>
      <c r="I21" s="480"/>
      <c r="J21" s="480"/>
      <c r="K21" s="480"/>
      <c r="L21" s="480"/>
      <c r="M21" s="480"/>
      <c r="N21" s="480"/>
      <c r="O21" s="480"/>
      <c r="P21" s="480"/>
      <c r="Q21" s="480"/>
      <c r="R21" s="480"/>
      <c r="S21" s="480"/>
      <c r="T21" s="480"/>
      <c r="U21" s="480"/>
      <c r="V21" s="480"/>
      <c r="W21" s="480"/>
      <c r="X21" s="480"/>
      <c r="Y21" s="480"/>
      <c r="Z21" s="480"/>
      <c r="AA21" s="99"/>
      <c r="AB21" s="99"/>
    </row>
    <row r="22" spans="1:28" x14ac:dyDescent="0.25">
      <c r="A22" s="481" t="s">
        <v>411</v>
      </c>
      <c r="B22" s="481"/>
      <c r="C22" s="481"/>
      <c r="D22" s="481"/>
      <c r="E22" s="481"/>
      <c r="F22" s="481"/>
      <c r="G22" s="481"/>
      <c r="H22" s="481"/>
      <c r="I22" s="481"/>
      <c r="J22" s="481"/>
      <c r="K22" s="481"/>
      <c r="L22" s="481"/>
      <c r="M22" s="481"/>
      <c r="N22" s="481"/>
      <c r="O22" s="481"/>
      <c r="P22" s="481"/>
      <c r="Q22" s="481"/>
      <c r="R22" s="481"/>
      <c r="S22" s="481"/>
      <c r="T22" s="481"/>
      <c r="U22" s="481"/>
      <c r="V22" s="481"/>
      <c r="W22" s="481"/>
      <c r="X22" s="481"/>
      <c r="Y22" s="481"/>
      <c r="Z22" s="481"/>
      <c r="AA22" s="100"/>
      <c r="AB22" s="100"/>
    </row>
    <row r="23" spans="1:28" ht="32.25" customHeight="1" x14ac:dyDescent="0.25">
      <c r="A23" s="475" t="s">
        <v>291</v>
      </c>
      <c r="B23" s="476"/>
      <c r="C23" s="476"/>
      <c r="D23" s="476"/>
      <c r="E23" s="476"/>
      <c r="F23" s="476"/>
      <c r="G23" s="476"/>
      <c r="H23" s="476"/>
      <c r="I23" s="476"/>
      <c r="J23" s="476"/>
      <c r="K23" s="476"/>
      <c r="L23" s="477"/>
      <c r="M23" s="478" t="s">
        <v>292</v>
      </c>
      <c r="N23" s="478"/>
      <c r="O23" s="478"/>
      <c r="P23" s="478"/>
      <c r="Q23" s="478"/>
      <c r="R23" s="478"/>
      <c r="S23" s="478"/>
      <c r="T23" s="478"/>
      <c r="U23" s="478"/>
      <c r="V23" s="478"/>
      <c r="W23" s="478"/>
      <c r="X23" s="478"/>
      <c r="Y23" s="478"/>
      <c r="Z23" s="478"/>
    </row>
    <row r="24" spans="1:28" ht="151.5" customHeight="1" x14ac:dyDescent="0.25">
      <c r="A24" s="296" t="s">
        <v>208</v>
      </c>
      <c r="B24" s="295" t="s">
        <v>215</v>
      </c>
      <c r="C24" s="296" t="s">
        <v>286</v>
      </c>
      <c r="D24" s="296" t="s">
        <v>209</v>
      </c>
      <c r="E24" s="296" t="s">
        <v>287</v>
      </c>
      <c r="F24" s="296" t="s">
        <v>289</v>
      </c>
      <c r="G24" s="295" t="s">
        <v>288</v>
      </c>
      <c r="H24" s="296" t="s">
        <v>210</v>
      </c>
      <c r="I24" s="296" t="s">
        <v>290</v>
      </c>
      <c r="J24" s="296" t="s">
        <v>216</v>
      </c>
      <c r="K24" s="295" t="s">
        <v>214</v>
      </c>
      <c r="L24" s="295" t="s">
        <v>211</v>
      </c>
      <c r="M24" s="298" t="s">
        <v>223</v>
      </c>
      <c r="N24" s="295" t="s">
        <v>421</v>
      </c>
      <c r="O24" s="296" t="s">
        <v>221</v>
      </c>
      <c r="P24" s="296" t="s">
        <v>222</v>
      </c>
      <c r="Q24" s="296" t="s">
        <v>220</v>
      </c>
      <c r="R24" s="296" t="s">
        <v>210</v>
      </c>
      <c r="S24" s="296" t="s">
        <v>219</v>
      </c>
      <c r="T24" s="296" t="s">
        <v>218</v>
      </c>
      <c r="U24" s="296" t="s">
        <v>285</v>
      </c>
      <c r="V24" s="296" t="s">
        <v>220</v>
      </c>
      <c r="W24" s="294" t="s">
        <v>213</v>
      </c>
      <c r="X24" s="294" t="s">
        <v>225</v>
      </c>
      <c r="Y24" s="294" t="s">
        <v>226</v>
      </c>
      <c r="Z24" s="297" t="s">
        <v>224</v>
      </c>
    </row>
    <row r="25" spans="1:28" ht="16.5" customHeight="1" x14ac:dyDescent="0.25">
      <c r="A25" s="296">
        <v>1</v>
      </c>
      <c r="B25" s="295">
        <v>2</v>
      </c>
      <c r="C25" s="296">
        <v>3</v>
      </c>
      <c r="D25" s="295">
        <v>4</v>
      </c>
      <c r="E25" s="296">
        <v>5</v>
      </c>
      <c r="F25" s="295">
        <v>6</v>
      </c>
      <c r="G25" s="296">
        <v>7</v>
      </c>
      <c r="H25" s="295">
        <v>8</v>
      </c>
      <c r="I25" s="296">
        <v>9</v>
      </c>
      <c r="J25" s="295">
        <v>10</v>
      </c>
      <c r="K25" s="296">
        <v>11</v>
      </c>
      <c r="L25" s="295">
        <v>12</v>
      </c>
      <c r="M25" s="296">
        <v>13</v>
      </c>
      <c r="N25" s="295">
        <v>14</v>
      </c>
      <c r="O25" s="296">
        <v>15</v>
      </c>
      <c r="P25" s="295">
        <v>16</v>
      </c>
      <c r="Q25" s="296">
        <v>17</v>
      </c>
      <c r="R25" s="295">
        <v>18</v>
      </c>
      <c r="S25" s="296">
        <v>19</v>
      </c>
      <c r="T25" s="295">
        <v>20</v>
      </c>
      <c r="U25" s="296">
        <v>21</v>
      </c>
      <c r="V25" s="295">
        <v>22</v>
      </c>
      <c r="W25" s="296">
        <v>23</v>
      </c>
      <c r="X25" s="295">
        <v>24</v>
      </c>
      <c r="Y25" s="296">
        <v>25</v>
      </c>
      <c r="Z25" s="295">
        <v>26</v>
      </c>
    </row>
    <row r="26" spans="1:28" ht="135" x14ac:dyDescent="0.25">
      <c r="A26" s="331"/>
      <c r="B26" s="331" t="s">
        <v>510</v>
      </c>
      <c r="C26" s="332">
        <v>0.35499999999999998</v>
      </c>
      <c r="D26" s="332">
        <v>0.75</v>
      </c>
      <c r="E26" s="332"/>
      <c r="F26" s="332">
        <v>1.0649999999999999</v>
      </c>
      <c r="G26" s="332"/>
      <c r="H26" s="332">
        <v>173425</v>
      </c>
      <c r="I26" s="333">
        <v>6.1409831339195617E-6</v>
      </c>
      <c r="J26" s="334">
        <v>4.3246360098025084E-6</v>
      </c>
      <c r="K26" s="335"/>
      <c r="L26" s="336"/>
      <c r="M26" s="337">
        <v>2023</v>
      </c>
      <c r="N26" s="338"/>
      <c r="O26" s="339">
        <v>1.0543499999999999</v>
      </c>
      <c r="P26" s="338">
        <v>0.35144999999999998</v>
      </c>
      <c r="Q26" s="340">
        <v>6.0795733025803659E-6</v>
      </c>
      <c r="R26" s="338">
        <v>96609</v>
      </c>
      <c r="S26" s="340">
        <v>6.0795733025803659E-6</v>
      </c>
      <c r="T26" s="341">
        <v>4.2813896497044835E-6</v>
      </c>
      <c r="U26" s="337"/>
      <c r="V26" s="338"/>
      <c r="W26" s="342">
        <v>-6.1409831339195761E-8</v>
      </c>
      <c r="X26" s="342">
        <v>-4.3246360098024897E-8</v>
      </c>
      <c r="Y26" s="356" t="s">
        <v>573</v>
      </c>
      <c r="Z26" s="338"/>
    </row>
    <row r="27" spans="1:28" ht="39.950000000000003" customHeight="1" x14ac:dyDescent="0.25">
      <c r="A27" s="343" t="s">
        <v>529</v>
      </c>
      <c r="B27" s="344"/>
      <c r="C27" s="345">
        <v>1.42</v>
      </c>
      <c r="D27" s="344">
        <v>3</v>
      </c>
      <c r="E27" s="346"/>
      <c r="F27" s="344">
        <v>4.26</v>
      </c>
      <c r="G27" s="346"/>
      <c r="H27" s="344">
        <v>173425</v>
      </c>
      <c r="I27" s="347">
        <v>2.4563932535678247E-5</v>
      </c>
      <c r="J27" s="347">
        <v>1.7298544039210034E-5</v>
      </c>
      <c r="K27" s="348"/>
      <c r="L27" s="349"/>
      <c r="M27" s="337"/>
      <c r="N27" s="338"/>
      <c r="O27" s="339"/>
      <c r="P27" s="338"/>
      <c r="Q27" s="337"/>
      <c r="R27" s="338"/>
      <c r="S27" s="337"/>
      <c r="T27" s="341"/>
      <c r="U27" s="337"/>
      <c r="V27" s="338"/>
      <c r="W27" s="350"/>
      <c r="X27" s="350"/>
      <c r="Y27" s="337"/>
      <c r="Z27" s="338"/>
    </row>
    <row r="28" spans="1:28" ht="39.950000000000003" customHeight="1" x14ac:dyDescent="0.25">
      <c r="A28" s="337">
        <v>2022</v>
      </c>
      <c r="B28" s="351" t="s">
        <v>517</v>
      </c>
      <c r="C28" s="337">
        <v>0</v>
      </c>
      <c r="D28" s="338">
        <v>0</v>
      </c>
      <c r="E28" s="352">
        <v>0</v>
      </c>
      <c r="F28" s="338">
        <v>0</v>
      </c>
      <c r="G28" s="352"/>
      <c r="H28" s="338"/>
      <c r="I28" s="337">
        <v>0</v>
      </c>
      <c r="J28" s="341">
        <v>0</v>
      </c>
      <c r="K28" s="335" t="s">
        <v>530</v>
      </c>
      <c r="L28" s="336" t="s">
        <v>531</v>
      </c>
      <c r="M28" s="337"/>
      <c r="N28" s="338"/>
      <c r="O28" s="339"/>
      <c r="P28" s="338"/>
      <c r="Q28" s="337"/>
      <c r="R28" s="338"/>
      <c r="S28" s="337"/>
      <c r="T28" s="341"/>
      <c r="U28" s="337"/>
      <c r="V28" s="338"/>
      <c r="W28" s="350"/>
      <c r="X28" s="350"/>
      <c r="Y28" s="337"/>
      <c r="Z28" s="338"/>
    </row>
    <row r="29" spans="1:28" ht="39.950000000000003" customHeight="1" x14ac:dyDescent="0.25">
      <c r="A29" s="337"/>
      <c r="B29" s="300" t="s">
        <v>521</v>
      </c>
      <c r="C29" s="337">
        <v>0</v>
      </c>
      <c r="D29" s="338">
        <v>0</v>
      </c>
      <c r="E29" s="352"/>
      <c r="F29" s="338">
        <v>0</v>
      </c>
      <c r="G29" s="352"/>
      <c r="H29" s="338"/>
      <c r="I29" s="337">
        <v>0</v>
      </c>
      <c r="J29" s="341">
        <v>0</v>
      </c>
      <c r="K29" s="335" t="s">
        <v>530</v>
      </c>
      <c r="L29" s="336" t="s">
        <v>531</v>
      </c>
      <c r="M29" s="337"/>
      <c r="N29" s="338"/>
      <c r="O29" s="339"/>
      <c r="P29" s="338"/>
      <c r="Q29" s="337"/>
      <c r="R29" s="338"/>
      <c r="S29" s="337"/>
      <c r="T29" s="341"/>
      <c r="U29" s="337"/>
      <c r="V29" s="338"/>
      <c r="W29" s="350"/>
      <c r="X29" s="350"/>
      <c r="Y29" s="337"/>
      <c r="Z29" s="338"/>
    </row>
    <row r="30" spans="1:28" ht="39.950000000000003" customHeight="1" x14ac:dyDescent="0.25">
      <c r="A30" s="337"/>
      <c r="B30" s="351" t="s">
        <v>532</v>
      </c>
      <c r="C30" s="337">
        <v>1.42</v>
      </c>
      <c r="D30" s="338">
        <v>3</v>
      </c>
      <c r="E30" s="352"/>
      <c r="F30" s="338">
        <v>4.26</v>
      </c>
      <c r="G30" s="352"/>
      <c r="H30" s="338">
        <v>173425</v>
      </c>
      <c r="I30" s="340">
        <v>2.4563932535678247E-5</v>
      </c>
      <c r="J30" s="341">
        <v>1.7298544039210034E-5</v>
      </c>
      <c r="K30" s="335" t="s">
        <v>533</v>
      </c>
      <c r="L30" s="336" t="s">
        <v>534</v>
      </c>
      <c r="M30" s="337"/>
      <c r="N30" s="338"/>
      <c r="O30" s="339"/>
      <c r="P30" s="338"/>
      <c r="Q30" s="337"/>
      <c r="R30" s="338"/>
      <c r="S30" s="337"/>
      <c r="T30" s="341"/>
      <c r="U30" s="337"/>
      <c r="V30" s="338"/>
      <c r="W30" s="350"/>
      <c r="X30" s="350"/>
      <c r="Y30" s="337"/>
      <c r="Z30" s="338"/>
    </row>
    <row r="31" spans="1:28" ht="39.950000000000003" customHeight="1" x14ac:dyDescent="0.25">
      <c r="A31" s="337"/>
      <c r="B31" s="351" t="s">
        <v>535</v>
      </c>
      <c r="C31" s="337">
        <v>0</v>
      </c>
      <c r="D31" s="338">
        <v>0</v>
      </c>
      <c r="E31" s="352"/>
      <c r="F31" s="338">
        <v>0</v>
      </c>
      <c r="G31" s="352"/>
      <c r="H31" s="338"/>
      <c r="I31" s="337">
        <v>0</v>
      </c>
      <c r="J31" s="341">
        <v>0</v>
      </c>
      <c r="K31" s="335" t="s">
        <v>530</v>
      </c>
      <c r="L31" s="336" t="s">
        <v>531</v>
      </c>
      <c r="M31" s="337"/>
      <c r="N31" s="338"/>
      <c r="O31" s="339"/>
      <c r="P31" s="338"/>
      <c r="Q31" s="337"/>
      <c r="R31" s="338"/>
      <c r="S31" s="337"/>
      <c r="T31" s="341"/>
      <c r="U31" s="337"/>
      <c r="V31" s="338"/>
      <c r="W31" s="350"/>
      <c r="X31" s="350"/>
      <c r="Y31" s="337"/>
      <c r="Z31" s="338"/>
    </row>
    <row r="32" spans="1:28" ht="39.950000000000003" customHeight="1" x14ac:dyDescent="0.25">
      <c r="A32" s="343" t="s">
        <v>536</v>
      </c>
      <c r="B32" s="344"/>
      <c r="C32" s="345">
        <v>0</v>
      </c>
      <c r="D32" s="344">
        <v>0</v>
      </c>
      <c r="E32" s="346"/>
      <c r="F32" s="344">
        <v>0</v>
      </c>
      <c r="G32" s="346"/>
      <c r="H32" s="344"/>
      <c r="I32" s="344">
        <v>0</v>
      </c>
      <c r="J32" s="347">
        <v>0</v>
      </c>
      <c r="K32" s="348"/>
      <c r="L32" s="349"/>
      <c r="M32" s="353"/>
      <c r="N32" s="354"/>
      <c r="O32" s="353"/>
      <c r="P32" s="354"/>
      <c r="Q32" s="353"/>
      <c r="R32" s="354"/>
      <c r="S32" s="353"/>
      <c r="T32" s="354"/>
      <c r="U32" s="353"/>
      <c r="V32" s="354"/>
      <c r="W32" s="353"/>
      <c r="X32" s="354"/>
      <c r="Y32" s="353"/>
      <c r="Z32" s="354"/>
    </row>
    <row r="33" spans="1:26" ht="39.950000000000003" customHeight="1" x14ac:dyDescent="0.25">
      <c r="A33" s="337">
        <v>2021</v>
      </c>
      <c r="B33" s="351" t="s">
        <v>517</v>
      </c>
      <c r="C33" s="337">
        <v>0</v>
      </c>
      <c r="D33" s="338">
        <v>0</v>
      </c>
      <c r="E33" s="352"/>
      <c r="F33" s="338">
        <v>0</v>
      </c>
      <c r="G33" s="352"/>
      <c r="H33" s="338"/>
      <c r="I33" s="337">
        <v>0</v>
      </c>
      <c r="J33" s="341">
        <v>0</v>
      </c>
      <c r="K33" s="335" t="s">
        <v>530</v>
      </c>
      <c r="L33" s="336" t="s">
        <v>531</v>
      </c>
      <c r="M33" s="337"/>
      <c r="N33" s="338"/>
      <c r="O33" s="337"/>
      <c r="P33" s="338"/>
      <c r="Q33" s="337"/>
      <c r="R33" s="338"/>
      <c r="S33" s="337"/>
      <c r="T33" s="338"/>
      <c r="U33" s="337"/>
      <c r="V33" s="338"/>
      <c r="W33" s="337"/>
      <c r="X33" s="338"/>
      <c r="Y33" s="337"/>
      <c r="Z33" s="338"/>
    </row>
    <row r="34" spans="1:26" ht="39.950000000000003" customHeight="1" x14ac:dyDescent="0.25">
      <c r="A34" s="337"/>
      <c r="B34" s="300" t="s">
        <v>521</v>
      </c>
      <c r="C34" s="337">
        <v>0</v>
      </c>
      <c r="D34" s="338">
        <v>0</v>
      </c>
      <c r="E34" s="352"/>
      <c r="F34" s="338">
        <v>0</v>
      </c>
      <c r="G34" s="352"/>
      <c r="H34" s="338"/>
      <c r="I34" s="337">
        <v>0</v>
      </c>
      <c r="J34" s="341">
        <v>0</v>
      </c>
      <c r="K34" s="335" t="s">
        <v>530</v>
      </c>
      <c r="L34" s="336" t="s">
        <v>531</v>
      </c>
      <c r="M34" s="337"/>
      <c r="N34" s="338"/>
      <c r="O34" s="337"/>
      <c r="P34" s="338"/>
      <c r="Q34" s="337"/>
      <c r="R34" s="338"/>
      <c r="S34" s="337"/>
      <c r="T34" s="338"/>
      <c r="U34" s="337"/>
      <c r="V34" s="338"/>
      <c r="W34" s="337"/>
      <c r="X34" s="338"/>
      <c r="Y34" s="337"/>
      <c r="Z34" s="338"/>
    </row>
    <row r="35" spans="1:26" ht="39.950000000000003" customHeight="1" x14ac:dyDescent="0.25">
      <c r="A35" s="337"/>
      <c r="B35" s="351" t="s">
        <v>532</v>
      </c>
      <c r="C35" s="337">
        <v>0</v>
      </c>
      <c r="D35" s="338">
        <v>0</v>
      </c>
      <c r="E35" s="352"/>
      <c r="F35" s="338">
        <v>0</v>
      </c>
      <c r="G35" s="352"/>
      <c r="H35" s="338"/>
      <c r="I35" s="337">
        <v>0</v>
      </c>
      <c r="J35" s="341">
        <v>0</v>
      </c>
      <c r="K35" s="335" t="s">
        <v>530</v>
      </c>
      <c r="L35" s="336" t="s">
        <v>531</v>
      </c>
      <c r="M35" s="337"/>
      <c r="N35" s="338"/>
      <c r="O35" s="337"/>
      <c r="P35" s="338"/>
      <c r="Q35" s="337"/>
      <c r="R35" s="338"/>
      <c r="S35" s="337"/>
      <c r="T35" s="338"/>
      <c r="U35" s="337"/>
      <c r="V35" s="338"/>
      <c r="W35" s="337"/>
      <c r="X35" s="338"/>
      <c r="Y35" s="337"/>
      <c r="Z35" s="338"/>
    </row>
    <row r="36" spans="1:26" ht="39.950000000000003" customHeight="1" x14ac:dyDescent="0.25">
      <c r="A36" s="337"/>
      <c r="B36" s="351" t="s">
        <v>535</v>
      </c>
      <c r="C36" s="337">
        <v>0</v>
      </c>
      <c r="D36" s="338">
        <v>0</v>
      </c>
      <c r="E36" s="352"/>
      <c r="F36" s="338">
        <v>0</v>
      </c>
      <c r="G36" s="352"/>
      <c r="H36" s="338"/>
      <c r="I36" s="337">
        <v>0</v>
      </c>
      <c r="J36" s="341">
        <v>0</v>
      </c>
      <c r="K36" s="335" t="s">
        <v>530</v>
      </c>
      <c r="L36" s="336" t="s">
        <v>531</v>
      </c>
      <c r="M36" s="337"/>
      <c r="N36" s="338"/>
      <c r="O36" s="337"/>
      <c r="P36" s="338"/>
      <c r="Q36" s="337"/>
      <c r="R36" s="338"/>
      <c r="S36" s="337"/>
      <c r="T36" s="338"/>
      <c r="U36" s="337"/>
      <c r="V36" s="338"/>
      <c r="W36" s="337"/>
      <c r="X36" s="338"/>
      <c r="Y36" s="337"/>
      <c r="Z36" s="338"/>
    </row>
    <row r="37" spans="1:26" ht="39.950000000000003" customHeight="1" x14ac:dyDescent="0.25">
      <c r="A37" s="343" t="s">
        <v>537</v>
      </c>
      <c r="B37" s="344"/>
      <c r="C37" s="345">
        <v>0</v>
      </c>
      <c r="D37" s="344">
        <v>0</v>
      </c>
      <c r="E37" s="346"/>
      <c r="F37" s="344">
        <v>0</v>
      </c>
      <c r="G37" s="346"/>
      <c r="H37" s="344"/>
      <c r="I37" s="344">
        <v>0</v>
      </c>
      <c r="J37" s="347">
        <v>0</v>
      </c>
      <c r="K37" s="348"/>
      <c r="L37" s="349"/>
      <c r="M37" s="353"/>
      <c r="N37" s="354"/>
      <c r="O37" s="353"/>
      <c r="P37" s="354"/>
      <c r="Q37" s="353"/>
      <c r="R37" s="354"/>
      <c r="S37" s="353"/>
      <c r="T37" s="354"/>
      <c r="U37" s="353"/>
      <c r="V37" s="354"/>
      <c r="W37" s="353"/>
      <c r="X37" s="354"/>
      <c r="Y37" s="353"/>
      <c r="Z37" s="354"/>
    </row>
    <row r="38" spans="1:26" ht="39.950000000000003" customHeight="1" x14ac:dyDescent="0.25">
      <c r="A38" s="337">
        <v>2020</v>
      </c>
      <c r="B38" s="351" t="s">
        <v>517</v>
      </c>
      <c r="C38" s="337">
        <v>0</v>
      </c>
      <c r="D38" s="338">
        <v>0</v>
      </c>
      <c r="E38" s="352"/>
      <c r="F38" s="338">
        <v>0</v>
      </c>
      <c r="G38" s="352"/>
      <c r="H38" s="344"/>
      <c r="I38" s="337">
        <v>0</v>
      </c>
      <c r="J38" s="341">
        <v>0</v>
      </c>
      <c r="K38" s="335" t="s">
        <v>530</v>
      </c>
      <c r="L38" s="336" t="s">
        <v>531</v>
      </c>
      <c r="M38" s="337"/>
      <c r="N38" s="338"/>
      <c r="O38" s="337"/>
      <c r="P38" s="338"/>
      <c r="Q38" s="337"/>
      <c r="R38" s="338"/>
      <c r="S38" s="337"/>
      <c r="T38" s="338"/>
      <c r="U38" s="337"/>
      <c r="V38" s="338"/>
      <c r="W38" s="337"/>
      <c r="X38" s="338"/>
      <c r="Y38" s="337"/>
      <c r="Z38" s="338"/>
    </row>
    <row r="39" spans="1:26" ht="39.950000000000003" customHeight="1" x14ac:dyDescent="0.25">
      <c r="A39" s="337"/>
      <c r="B39" s="300" t="s">
        <v>521</v>
      </c>
      <c r="C39" s="337">
        <v>0</v>
      </c>
      <c r="D39" s="338">
        <v>0</v>
      </c>
      <c r="E39" s="352"/>
      <c r="F39" s="338">
        <v>0</v>
      </c>
      <c r="G39" s="352"/>
      <c r="H39" s="344"/>
      <c r="I39" s="337">
        <v>0</v>
      </c>
      <c r="J39" s="341">
        <v>0</v>
      </c>
      <c r="K39" s="335" t="s">
        <v>530</v>
      </c>
      <c r="L39" s="336" t="s">
        <v>531</v>
      </c>
      <c r="M39" s="337"/>
      <c r="N39" s="338"/>
      <c r="O39" s="337"/>
      <c r="P39" s="338"/>
      <c r="Q39" s="337"/>
      <c r="R39" s="338"/>
      <c r="S39" s="337"/>
      <c r="T39" s="338"/>
      <c r="U39" s="337"/>
      <c r="V39" s="338"/>
      <c r="W39" s="337"/>
      <c r="X39" s="338"/>
      <c r="Y39" s="337"/>
      <c r="Z39" s="338"/>
    </row>
    <row r="40" spans="1:26" ht="39.950000000000003" customHeight="1" x14ac:dyDescent="0.25">
      <c r="A40" s="337"/>
      <c r="B40" s="351" t="s">
        <v>532</v>
      </c>
      <c r="C40" s="337">
        <v>0</v>
      </c>
      <c r="D40" s="338">
        <v>0</v>
      </c>
      <c r="E40" s="352"/>
      <c r="F40" s="338">
        <v>0</v>
      </c>
      <c r="G40" s="352"/>
      <c r="H40" s="344"/>
      <c r="I40" s="337">
        <v>0</v>
      </c>
      <c r="J40" s="341">
        <v>0</v>
      </c>
      <c r="K40" s="335" t="s">
        <v>530</v>
      </c>
      <c r="L40" s="336" t="s">
        <v>531</v>
      </c>
      <c r="M40" s="337"/>
      <c r="N40" s="338"/>
      <c r="O40" s="337"/>
      <c r="P40" s="338"/>
      <c r="Q40" s="337"/>
      <c r="R40" s="338"/>
      <c r="S40" s="337"/>
      <c r="T40" s="338"/>
      <c r="U40" s="337"/>
      <c r="V40" s="338"/>
      <c r="W40" s="337"/>
      <c r="X40" s="338"/>
      <c r="Y40" s="337"/>
      <c r="Z40" s="338"/>
    </row>
    <row r="41" spans="1:26" ht="39.950000000000003" customHeight="1" x14ac:dyDescent="0.25">
      <c r="A41" s="337"/>
      <c r="B41" s="351" t="s">
        <v>535</v>
      </c>
      <c r="C41" s="337">
        <v>0</v>
      </c>
      <c r="D41" s="338">
        <v>0</v>
      </c>
      <c r="E41" s="352"/>
      <c r="F41" s="338">
        <v>0</v>
      </c>
      <c r="G41" s="352"/>
      <c r="H41" s="344"/>
      <c r="I41" s="337">
        <v>0</v>
      </c>
      <c r="J41" s="341">
        <v>0</v>
      </c>
      <c r="K41" s="335" t="s">
        <v>530</v>
      </c>
      <c r="L41" s="336" t="s">
        <v>531</v>
      </c>
      <c r="M41" s="337"/>
      <c r="N41" s="338"/>
      <c r="O41" s="337"/>
      <c r="P41" s="338"/>
      <c r="Q41" s="337"/>
      <c r="R41" s="338"/>
      <c r="S41" s="337"/>
      <c r="T41" s="338"/>
      <c r="U41" s="337"/>
      <c r="V41" s="338"/>
      <c r="W41" s="337"/>
      <c r="X41" s="338"/>
      <c r="Y41" s="337"/>
      <c r="Z41" s="338"/>
    </row>
    <row r="42" spans="1:26" ht="39.950000000000003" customHeight="1" x14ac:dyDescent="0.25">
      <c r="A42" s="343" t="s">
        <v>538</v>
      </c>
      <c r="B42" s="344"/>
      <c r="C42" s="345">
        <v>0</v>
      </c>
      <c r="D42" s="344">
        <v>0</v>
      </c>
      <c r="E42" s="346"/>
      <c r="F42" s="344">
        <v>0</v>
      </c>
      <c r="G42" s="346"/>
      <c r="H42" s="344"/>
      <c r="I42" s="344">
        <v>0</v>
      </c>
      <c r="J42" s="347">
        <v>0</v>
      </c>
      <c r="K42" s="348"/>
      <c r="L42" s="349"/>
      <c r="M42" s="353"/>
      <c r="N42" s="354"/>
      <c r="O42" s="353"/>
      <c r="P42" s="354"/>
      <c r="Q42" s="353"/>
      <c r="R42" s="354"/>
      <c r="S42" s="353"/>
      <c r="T42" s="354"/>
      <c r="U42" s="353"/>
      <c r="V42" s="354"/>
      <c r="W42" s="353"/>
      <c r="X42" s="354"/>
      <c r="Y42" s="353"/>
      <c r="Z42" s="354"/>
    </row>
    <row r="43" spans="1:26" ht="39.950000000000003" customHeight="1" x14ac:dyDescent="0.25">
      <c r="A43" s="355">
        <v>2019</v>
      </c>
      <c r="B43" s="351" t="s">
        <v>517</v>
      </c>
      <c r="C43" s="337">
        <v>0</v>
      </c>
      <c r="D43" s="338">
        <v>0</v>
      </c>
      <c r="E43" s="352"/>
      <c r="F43" s="338">
        <v>0</v>
      </c>
      <c r="G43" s="352"/>
      <c r="H43" s="338"/>
      <c r="I43" s="337">
        <v>0</v>
      </c>
      <c r="J43" s="341">
        <v>0</v>
      </c>
      <c r="K43" s="335" t="s">
        <v>530</v>
      </c>
      <c r="L43" s="336" t="s">
        <v>531</v>
      </c>
      <c r="M43" s="337"/>
      <c r="N43" s="338"/>
      <c r="O43" s="337"/>
      <c r="P43" s="338"/>
      <c r="Q43" s="337"/>
      <c r="R43" s="338"/>
      <c r="S43" s="337"/>
      <c r="T43" s="338"/>
      <c r="U43" s="337"/>
      <c r="V43" s="338"/>
      <c r="W43" s="337"/>
      <c r="X43" s="338"/>
      <c r="Y43" s="337"/>
      <c r="Z43" s="338"/>
    </row>
    <row r="44" spans="1:26" ht="39.950000000000003" customHeight="1" x14ac:dyDescent="0.25">
      <c r="A44" s="355"/>
      <c r="B44" s="300" t="s">
        <v>521</v>
      </c>
      <c r="C44" s="337">
        <v>0</v>
      </c>
      <c r="D44" s="338">
        <v>0</v>
      </c>
      <c r="E44" s="352"/>
      <c r="F44" s="338">
        <v>0</v>
      </c>
      <c r="G44" s="352"/>
      <c r="H44" s="338"/>
      <c r="I44" s="337">
        <v>0</v>
      </c>
      <c r="J44" s="341">
        <v>0</v>
      </c>
      <c r="K44" s="335" t="s">
        <v>530</v>
      </c>
      <c r="L44" s="336" t="s">
        <v>531</v>
      </c>
      <c r="M44" s="337"/>
      <c r="N44" s="338"/>
      <c r="O44" s="337"/>
      <c r="P44" s="338"/>
      <c r="Q44" s="337"/>
      <c r="R44" s="338"/>
      <c r="S44" s="337"/>
      <c r="T44" s="338"/>
      <c r="U44" s="337"/>
      <c r="V44" s="338"/>
      <c r="W44" s="337"/>
      <c r="X44" s="338"/>
      <c r="Y44" s="337"/>
      <c r="Z44" s="338"/>
    </row>
    <row r="45" spans="1:26" ht="39.950000000000003" customHeight="1" x14ac:dyDescent="0.25">
      <c r="A45" s="355"/>
      <c r="B45" s="351" t="s">
        <v>532</v>
      </c>
      <c r="C45" s="337">
        <v>0</v>
      </c>
      <c r="D45" s="338">
        <v>0</v>
      </c>
      <c r="E45" s="352"/>
      <c r="F45" s="338">
        <v>0</v>
      </c>
      <c r="G45" s="352"/>
      <c r="H45" s="338"/>
      <c r="I45" s="337">
        <v>0</v>
      </c>
      <c r="J45" s="341">
        <v>0</v>
      </c>
      <c r="K45" s="335" t="s">
        <v>530</v>
      </c>
      <c r="L45" s="336" t="s">
        <v>531</v>
      </c>
      <c r="M45" s="337"/>
      <c r="N45" s="338"/>
      <c r="O45" s="337"/>
      <c r="P45" s="338"/>
      <c r="Q45" s="337"/>
      <c r="R45" s="338"/>
      <c r="S45" s="337"/>
      <c r="T45" s="338"/>
      <c r="U45" s="337"/>
      <c r="V45" s="338"/>
      <c r="W45" s="337"/>
      <c r="X45" s="338"/>
      <c r="Y45" s="337"/>
      <c r="Z45" s="338"/>
    </row>
    <row r="46" spans="1:26" ht="39.950000000000003" customHeight="1" x14ac:dyDescent="0.25">
      <c r="A46" s="355"/>
      <c r="B46" s="351" t="s">
        <v>535</v>
      </c>
      <c r="C46" s="337">
        <v>0</v>
      </c>
      <c r="D46" s="338">
        <v>0</v>
      </c>
      <c r="E46" s="352"/>
      <c r="F46" s="338">
        <v>0</v>
      </c>
      <c r="G46" s="352"/>
      <c r="H46" s="338"/>
      <c r="I46" s="337">
        <v>0</v>
      </c>
      <c r="J46" s="341">
        <v>0</v>
      </c>
      <c r="K46" s="335" t="s">
        <v>530</v>
      </c>
      <c r="L46" s="336" t="s">
        <v>531</v>
      </c>
      <c r="M46" s="337"/>
      <c r="N46" s="338"/>
      <c r="O46" s="337"/>
      <c r="P46" s="338"/>
      <c r="Q46" s="337"/>
      <c r="R46" s="338"/>
      <c r="S46" s="337"/>
      <c r="T46" s="338"/>
      <c r="U46" s="337"/>
      <c r="V46" s="338"/>
      <c r="W46" s="337"/>
      <c r="X46" s="338"/>
      <c r="Y46" s="337"/>
      <c r="Z46" s="338"/>
    </row>
  </sheetData>
  <mergeCells count="20">
    <mergeCell ref="A14:Z14"/>
    <mergeCell ref="A15:Z15"/>
    <mergeCell ref="A16:Z16"/>
    <mergeCell ref="A4:Z4"/>
    <mergeCell ref="A6:Z6"/>
    <mergeCell ref="A7:Z7"/>
    <mergeCell ref="A8:Z8"/>
    <mergeCell ref="A9:Z9"/>
    <mergeCell ref="A10:Z10"/>
    <mergeCell ref="A11:Z11"/>
    <mergeCell ref="A12:Z12"/>
    <mergeCell ref="A13:Z13"/>
    <mergeCell ref="A23:L23"/>
    <mergeCell ref="M23:Z23"/>
    <mergeCell ref="A17:Z17"/>
    <mergeCell ref="A18:Z18"/>
    <mergeCell ref="A19:Z19"/>
    <mergeCell ref="A20:Z20"/>
    <mergeCell ref="A21:Z21"/>
    <mergeCell ref="A22:Z22"/>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70" zoomScaleSheetLayoutView="7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4" width="19.5703125" style="1" customWidth="1"/>
    <col min="15" max="15" width="16.42578125" style="1" customWidth="1"/>
    <col min="16" max="16384" width="9.140625" style="1"/>
  </cols>
  <sheetData>
    <row r="1" spans="1:28" s="11" customFormat="1" ht="18.75" customHeight="1" x14ac:dyDescent="0.2">
      <c r="A1" s="17"/>
      <c r="B1" s="17"/>
      <c r="O1" s="37" t="s">
        <v>65</v>
      </c>
    </row>
    <row r="2" spans="1:28" s="11" customFormat="1" ht="18.75" customHeight="1" x14ac:dyDescent="0.3">
      <c r="A2" s="17"/>
      <c r="B2" s="17"/>
      <c r="O2" s="14" t="s">
        <v>7</v>
      </c>
    </row>
    <row r="3" spans="1:28" s="11" customFormat="1" ht="18.75" x14ac:dyDescent="0.3">
      <c r="A3" s="16"/>
      <c r="B3" s="16"/>
      <c r="O3" s="14" t="s">
        <v>64</v>
      </c>
    </row>
    <row r="4" spans="1:28" s="11" customFormat="1" ht="15.75" x14ac:dyDescent="0.2">
      <c r="A4" s="16"/>
      <c r="B4" s="16"/>
    </row>
    <row r="5" spans="1:28" s="11" customFormat="1" ht="15.75" x14ac:dyDescent="0.2">
      <c r="A5" s="427" t="str">
        <f>'1. паспорт местоположение'!A5:C5</f>
        <v>Год раскрытия информации: 2025 год</v>
      </c>
      <c r="B5" s="427"/>
      <c r="C5" s="427"/>
      <c r="D5" s="427"/>
      <c r="E5" s="427"/>
      <c r="F5" s="427"/>
      <c r="G5" s="427"/>
      <c r="H5" s="427"/>
      <c r="I5" s="427"/>
      <c r="J5" s="427"/>
      <c r="K5" s="427"/>
      <c r="L5" s="427"/>
      <c r="M5" s="427"/>
      <c r="N5" s="427"/>
      <c r="O5" s="427"/>
      <c r="P5" s="97"/>
      <c r="Q5" s="97"/>
      <c r="R5" s="97"/>
      <c r="S5" s="97"/>
      <c r="T5" s="97"/>
      <c r="U5" s="97"/>
      <c r="V5" s="97"/>
      <c r="W5" s="97"/>
      <c r="X5" s="97"/>
      <c r="Y5" s="97"/>
      <c r="Z5" s="97"/>
      <c r="AA5" s="97"/>
      <c r="AB5" s="97"/>
    </row>
    <row r="6" spans="1:28" s="11" customFormat="1" ht="15.75" x14ac:dyDescent="0.2">
      <c r="A6" s="16"/>
      <c r="B6" s="16"/>
    </row>
    <row r="7" spans="1:28" s="11" customFormat="1" ht="18.75" x14ac:dyDescent="0.2">
      <c r="A7" s="431" t="s">
        <v>6</v>
      </c>
      <c r="B7" s="431"/>
      <c r="C7" s="431"/>
      <c r="D7" s="431"/>
      <c r="E7" s="431"/>
      <c r="F7" s="431"/>
      <c r="G7" s="431"/>
      <c r="H7" s="431"/>
      <c r="I7" s="431"/>
      <c r="J7" s="431"/>
      <c r="K7" s="431"/>
      <c r="L7" s="431"/>
      <c r="M7" s="431"/>
      <c r="N7" s="431"/>
      <c r="O7" s="431"/>
      <c r="P7" s="92"/>
      <c r="Q7" s="92"/>
      <c r="R7" s="92"/>
      <c r="S7" s="92"/>
      <c r="T7" s="92"/>
      <c r="U7" s="92"/>
      <c r="V7" s="92"/>
      <c r="W7" s="92"/>
      <c r="X7" s="92"/>
      <c r="Y7" s="92"/>
      <c r="Z7" s="92"/>
    </row>
    <row r="8" spans="1:28" s="11" customFormat="1" ht="18.75" x14ac:dyDescent="0.2">
      <c r="A8" s="431"/>
      <c r="B8" s="431"/>
      <c r="C8" s="431"/>
      <c r="D8" s="431"/>
      <c r="E8" s="431"/>
      <c r="F8" s="431"/>
      <c r="G8" s="431"/>
      <c r="H8" s="431"/>
      <c r="I8" s="431"/>
      <c r="J8" s="431"/>
      <c r="K8" s="431"/>
      <c r="L8" s="431"/>
      <c r="M8" s="431"/>
      <c r="N8" s="431"/>
      <c r="O8" s="431"/>
      <c r="P8" s="92"/>
      <c r="Q8" s="92"/>
      <c r="R8" s="92"/>
      <c r="S8" s="92"/>
      <c r="T8" s="92"/>
      <c r="U8" s="92"/>
      <c r="V8" s="92"/>
      <c r="W8" s="92"/>
      <c r="X8" s="92"/>
      <c r="Y8" s="92"/>
      <c r="Z8" s="92"/>
    </row>
    <row r="9" spans="1:28" s="11" customFormat="1" ht="18.75" x14ac:dyDescent="0.2">
      <c r="A9" s="435" t="str">
        <f>'1. паспорт местоположение'!A9:C9</f>
        <v>Акционерное общество "Россети Янтарь" ДЗО  ПАО "Россети"</v>
      </c>
      <c r="B9" s="435"/>
      <c r="C9" s="435"/>
      <c r="D9" s="435"/>
      <c r="E9" s="435"/>
      <c r="F9" s="435"/>
      <c r="G9" s="435"/>
      <c r="H9" s="435"/>
      <c r="I9" s="435"/>
      <c r="J9" s="435"/>
      <c r="K9" s="435"/>
      <c r="L9" s="435"/>
      <c r="M9" s="435"/>
      <c r="N9" s="435"/>
      <c r="O9" s="435"/>
      <c r="P9" s="92"/>
      <c r="Q9" s="92"/>
      <c r="R9" s="92"/>
      <c r="S9" s="92"/>
      <c r="T9" s="92"/>
      <c r="U9" s="92"/>
      <c r="V9" s="92"/>
      <c r="W9" s="92"/>
      <c r="X9" s="92"/>
      <c r="Y9" s="92"/>
      <c r="Z9" s="92"/>
    </row>
    <row r="10" spans="1:28" s="11" customFormat="1" ht="18.75" x14ac:dyDescent="0.2">
      <c r="A10" s="428" t="s">
        <v>5</v>
      </c>
      <c r="B10" s="428"/>
      <c r="C10" s="428"/>
      <c r="D10" s="428"/>
      <c r="E10" s="428"/>
      <c r="F10" s="428"/>
      <c r="G10" s="428"/>
      <c r="H10" s="428"/>
      <c r="I10" s="428"/>
      <c r="J10" s="428"/>
      <c r="K10" s="428"/>
      <c r="L10" s="428"/>
      <c r="M10" s="428"/>
      <c r="N10" s="428"/>
      <c r="O10" s="428"/>
      <c r="P10" s="92"/>
      <c r="Q10" s="92"/>
      <c r="R10" s="92"/>
      <c r="S10" s="92"/>
      <c r="T10" s="92"/>
      <c r="U10" s="92"/>
      <c r="V10" s="92"/>
      <c r="W10" s="92"/>
      <c r="X10" s="92"/>
      <c r="Y10" s="92"/>
      <c r="Z10" s="92"/>
    </row>
    <row r="11" spans="1:28" s="11" customFormat="1" ht="18.75" x14ac:dyDescent="0.2">
      <c r="A11" s="431"/>
      <c r="B11" s="431"/>
      <c r="C11" s="431"/>
      <c r="D11" s="431"/>
      <c r="E11" s="431"/>
      <c r="F11" s="431"/>
      <c r="G11" s="431"/>
      <c r="H11" s="431"/>
      <c r="I11" s="431"/>
      <c r="J11" s="431"/>
      <c r="K11" s="431"/>
      <c r="L11" s="431"/>
      <c r="M11" s="431"/>
      <c r="N11" s="431"/>
      <c r="O11" s="431"/>
      <c r="P11" s="92"/>
      <c r="Q11" s="92"/>
      <c r="R11" s="92"/>
      <c r="S11" s="92"/>
      <c r="T11" s="92"/>
      <c r="U11" s="92"/>
      <c r="V11" s="92"/>
      <c r="W11" s="92"/>
      <c r="X11" s="92"/>
      <c r="Y11" s="92"/>
      <c r="Z11" s="92"/>
    </row>
    <row r="12" spans="1:28" s="11" customFormat="1" ht="18.75" x14ac:dyDescent="0.2">
      <c r="A12" s="435" t="str">
        <f>'1. паспорт местоположение'!A12:C12</f>
        <v>N_19-1035-1</v>
      </c>
      <c r="B12" s="435"/>
      <c r="C12" s="435"/>
      <c r="D12" s="435"/>
      <c r="E12" s="435"/>
      <c r="F12" s="435"/>
      <c r="G12" s="435"/>
      <c r="H12" s="435"/>
      <c r="I12" s="435"/>
      <c r="J12" s="435"/>
      <c r="K12" s="435"/>
      <c r="L12" s="435"/>
      <c r="M12" s="435"/>
      <c r="N12" s="435"/>
      <c r="O12" s="435"/>
      <c r="P12" s="92"/>
      <c r="Q12" s="92"/>
      <c r="R12" s="92"/>
      <c r="S12" s="92"/>
      <c r="T12" s="92"/>
      <c r="U12" s="92"/>
      <c r="V12" s="92"/>
      <c r="W12" s="92"/>
      <c r="X12" s="92"/>
      <c r="Y12" s="92"/>
      <c r="Z12" s="92"/>
    </row>
    <row r="13" spans="1:28" s="11" customFormat="1" ht="18.75" x14ac:dyDescent="0.2">
      <c r="A13" s="428" t="s">
        <v>4</v>
      </c>
      <c r="B13" s="428"/>
      <c r="C13" s="428"/>
      <c r="D13" s="428"/>
      <c r="E13" s="428"/>
      <c r="F13" s="428"/>
      <c r="G13" s="428"/>
      <c r="H13" s="428"/>
      <c r="I13" s="428"/>
      <c r="J13" s="428"/>
      <c r="K13" s="428"/>
      <c r="L13" s="428"/>
      <c r="M13" s="428"/>
      <c r="N13" s="428"/>
      <c r="O13" s="428"/>
      <c r="P13" s="92"/>
      <c r="Q13" s="92"/>
      <c r="R13" s="92"/>
      <c r="S13" s="92"/>
      <c r="T13" s="92"/>
      <c r="U13" s="92"/>
      <c r="V13" s="92"/>
      <c r="W13" s="92"/>
      <c r="X13" s="92"/>
      <c r="Y13" s="92"/>
      <c r="Z13" s="92"/>
    </row>
    <row r="14" spans="1:28" s="8" customFormat="1" ht="15.75" customHeight="1" x14ac:dyDescent="0.2">
      <c r="A14" s="439"/>
      <c r="B14" s="439"/>
      <c r="C14" s="439"/>
      <c r="D14" s="439"/>
      <c r="E14" s="439"/>
      <c r="F14" s="439"/>
      <c r="G14" s="439"/>
      <c r="H14" s="439"/>
      <c r="I14" s="439"/>
      <c r="J14" s="439"/>
      <c r="K14" s="439"/>
      <c r="L14" s="439"/>
      <c r="M14" s="439"/>
      <c r="N14" s="439"/>
      <c r="O14" s="439"/>
      <c r="P14" s="216"/>
      <c r="Q14" s="216"/>
      <c r="R14" s="216"/>
      <c r="S14" s="216"/>
      <c r="T14" s="216"/>
      <c r="U14" s="216"/>
      <c r="V14" s="216"/>
      <c r="W14" s="216"/>
      <c r="X14" s="216"/>
      <c r="Y14" s="216"/>
      <c r="Z14" s="216"/>
    </row>
    <row r="15" spans="1:28" s="3" customFormat="1" ht="15.75" x14ac:dyDescent="0.2">
      <c r="A15" s="440" t="str">
        <f>'1. паспорт местоположение'!A15:C15</f>
        <v>Реконструкция ЛЭП 0,23 кВ с переводом на напряжение 0,4 кВ: демонтаж ЛЭП 0,23 кВ протяженностью 1,055 км, строительство ЛЭП 0,4 кВ протяженностью 1,493 км, демонтаж ТП 6/0,23 кВ ТП-73 мощностью 0,15 МВА, демонтаж трансформатора 6/0,23 кВ  0,185 МВА в РП-VI, дооборудование резервной ячейки в РП-VI вакуумным выключателем 6 кВ и строительство 0,506 км кабельных линий 6 кВ в г. Калининграде</v>
      </c>
      <c r="B15" s="440"/>
      <c r="C15" s="440"/>
      <c r="D15" s="440"/>
      <c r="E15" s="440"/>
      <c r="F15" s="440"/>
      <c r="G15" s="440"/>
      <c r="H15" s="440"/>
      <c r="I15" s="440"/>
      <c r="J15" s="440"/>
      <c r="K15" s="440"/>
      <c r="L15" s="440"/>
      <c r="M15" s="440"/>
      <c r="N15" s="440"/>
      <c r="O15" s="440"/>
      <c r="P15" s="93"/>
      <c r="Q15" s="93"/>
      <c r="R15" s="93"/>
      <c r="S15" s="93"/>
      <c r="T15" s="93"/>
      <c r="U15" s="93"/>
      <c r="V15" s="93"/>
      <c r="W15" s="93"/>
      <c r="X15" s="93"/>
      <c r="Y15" s="93"/>
      <c r="Z15" s="93"/>
    </row>
    <row r="16" spans="1:28" s="3" customFormat="1" ht="15" customHeight="1" x14ac:dyDescent="0.2">
      <c r="A16" s="428" t="s">
        <v>3</v>
      </c>
      <c r="B16" s="428"/>
      <c r="C16" s="428"/>
      <c r="D16" s="428"/>
      <c r="E16" s="428"/>
      <c r="F16" s="428"/>
      <c r="G16" s="428"/>
      <c r="H16" s="428"/>
      <c r="I16" s="428"/>
      <c r="J16" s="428"/>
      <c r="K16" s="428"/>
      <c r="L16" s="428"/>
      <c r="M16" s="428"/>
      <c r="N16" s="428"/>
      <c r="O16" s="428"/>
      <c r="P16" s="94"/>
      <c r="Q16" s="94"/>
      <c r="R16" s="94"/>
      <c r="S16" s="94"/>
      <c r="T16" s="94"/>
      <c r="U16" s="94"/>
      <c r="V16" s="94"/>
      <c r="W16" s="94"/>
      <c r="X16" s="94"/>
      <c r="Y16" s="94"/>
      <c r="Z16" s="94"/>
    </row>
    <row r="17" spans="1:26" s="3" customFormat="1" ht="15" customHeight="1" x14ac:dyDescent="0.2">
      <c r="A17" s="441"/>
      <c r="B17" s="441"/>
      <c r="C17" s="441"/>
      <c r="D17" s="441"/>
      <c r="E17" s="441"/>
      <c r="F17" s="441"/>
      <c r="G17" s="441"/>
      <c r="H17" s="441"/>
      <c r="I17" s="441"/>
      <c r="J17" s="441"/>
      <c r="K17" s="441"/>
      <c r="L17" s="441"/>
      <c r="M17" s="441"/>
      <c r="N17" s="441"/>
      <c r="O17" s="441"/>
      <c r="P17" s="217"/>
      <c r="Q17" s="217"/>
      <c r="R17" s="217"/>
      <c r="S17" s="217"/>
      <c r="T17" s="217"/>
      <c r="U17" s="217"/>
      <c r="V17" s="217"/>
      <c r="W17" s="217"/>
    </row>
    <row r="18" spans="1:26" s="3" customFormat="1" ht="91.5" customHeight="1" x14ac:dyDescent="0.2">
      <c r="A18" s="486" t="s">
        <v>388</v>
      </c>
      <c r="B18" s="486"/>
      <c r="C18" s="486"/>
      <c r="D18" s="486"/>
      <c r="E18" s="486"/>
      <c r="F18" s="486"/>
      <c r="G18" s="486"/>
      <c r="H18" s="486"/>
      <c r="I18" s="486"/>
      <c r="J18" s="486"/>
      <c r="K18" s="486"/>
      <c r="L18" s="486"/>
      <c r="M18" s="486"/>
      <c r="N18" s="486"/>
      <c r="O18" s="486"/>
      <c r="P18" s="6"/>
      <c r="Q18" s="6"/>
      <c r="R18" s="6"/>
      <c r="S18" s="6"/>
      <c r="T18" s="6"/>
      <c r="U18" s="6"/>
      <c r="V18" s="6"/>
      <c r="W18" s="6"/>
      <c r="X18" s="6"/>
      <c r="Y18" s="6"/>
      <c r="Z18" s="6"/>
    </row>
    <row r="19" spans="1:26" s="3" customFormat="1" ht="78" customHeight="1" x14ac:dyDescent="0.2">
      <c r="A19" s="434" t="s">
        <v>2</v>
      </c>
      <c r="B19" s="434" t="s">
        <v>81</v>
      </c>
      <c r="C19" s="434" t="s">
        <v>80</v>
      </c>
      <c r="D19" s="434" t="s">
        <v>72</v>
      </c>
      <c r="E19" s="483" t="s">
        <v>79</v>
      </c>
      <c r="F19" s="484"/>
      <c r="G19" s="484"/>
      <c r="H19" s="484"/>
      <c r="I19" s="485"/>
      <c r="J19" s="434" t="s">
        <v>78</v>
      </c>
      <c r="K19" s="434"/>
      <c r="L19" s="482"/>
      <c r="M19" s="482"/>
      <c r="N19" s="434"/>
      <c r="O19" s="434"/>
      <c r="P19" s="217"/>
      <c r="Q19" s="217"/>
      <c r="R19" s="217"/>
      <c r="S19" s="217"/>
      <c r="T19" s="217"/>
      <c r="U19" s="217"/>
      <c r="V19" s="217"/>
      <c r="W19" s="217"/>
    </row>
    <row r="20" spans="1:26" s="3" customFormat="1" ht="51" customHeight="1" x14ac:dyDescent="0.2">
      <c r="A20" s="434"/>
      <c r="B20" s="434"/>
      <c r="C20" s="434"/>
      <c r="D20" s="434"/>
      <c r="E20" s="215" t="s">
        <v>77</v>
      </c>
      <c r="F20" s="215" t="s">
        <v>76</v>
      </c>
      <c r="G20" s="215" t="s">
        <v>75</v>
      </c>
      <c r="H20" s="215" t="s">
        <v>74</v>
      </c>
      <c r="I20" s="215" t="s">
        <v>73</v>
      </c>
      <c r="J20" s="215">
        <v>2023</v>
      </c>
      <c r="K20" s="215">
        <v>2024</v>
      </c>
      <c r="L20" s="301">
        <v>2025</v>
      </c>
      <c r="M20" s="301">
        <v>2026</v>
      </c>
      <c r="N20" s="301">
        <v>2027</v>
      </c>
      <c r="O20" s="301">
        <v>2028</v>
      </c>
      <c r="P20" s="27"/>
      <c r="Q20" s="27"/>
      <c r="R20" s="27"/>
      <c r="S20" s="27"/>
      <c r="T20" s="27"/>
      <c r="U20" s="27"/>
      <c r="V20" s="27"/>
      <c r="W20" s="27"/>
      <c r="X20" s="26"/>
      <c r="Y20" s="26"/>
      <c r="Z20" s="26"/>
    </row>
    <row r="21" spans="1:26" s="3" customFormat="1" ht="16.5" customHeight="1" x14ac:dyDescent="0.2">
      <c r="A21" s="35">
        <v>1</v>
      </c>
      <c r="B21" s="36">
        <v>2</v>
      </c>
      <c r="C21" s="35">
        <v>3</v>
      </c>
      <c r="D21" s="36">
        <v>4</v>
      </c>
      <c r="E21" s="35">
        <v>5</v>
      </c>
      <c r="F21" s="36">
        <v>6</v>
      </c>
      <c r="G21" s="35">
        <v>7</v>
      </c>
      <c r="H21" s="36">
        <v>8</v>
      </c>
      <c r="I21" s="35">
        <v>9</v>
      </c>
      <c r="J21" s="36">
        <v>10</v>
      </c>
      <c r="K21" s="36">
        <v>11</v>
      </c>
      <c r="L21" s="36">
        <v>12</v>
      </c>
      <c r="M21" s="36">
        <v>13</v>
      </c>
      <c r="N21" s="36">
        <v>14</v>
      </c>
      <c r="O21" s="36">
        <v>15</v>
      </c>
      <c r="P21" s="27"/>
      <c r="Q21" s="27"/>
      <c r="R21" s="27"/>
      <c r="S21" s="27"/>
      <c r="T21" s="27"/>
      <c r="U21" s="27"/>
      <c r="V21" s="27"/>
      <c r="W21" s="27"/>
      <c r="X21" s="26"/>
      <c r="Y21" s="26"/>
      <c r="Z21" s="26"/>
    </row>
    <row r="22" spans="1:26" s="3" customFormat="1" ht="33" customHeight="1" x14ac:dyDescent="0.2">
      <c r="A22" s="44" t="s">
        <v>61</v>
      </c>
      <c r="B22" s="46">
        <v>2024</v>
      </c>
      <c r="C22" s="29">
        <v>0</v>
      </c>
      <c r="D22" s="29">
        <v>0</v>
      </c>
      <c r="E22" s="29">
        <v>0</v>
      </c>
      <c r="F22" s="29">
        <v>0</v>
      </c>
      <c r="G22" s="29">
        <v>0</v>
      </c>
      <c r="H22" s="29">
        <v>0</v>
      </c>
      <c r="I22" s="29">
        <v>0</v>
      </c>
      <c r="J22" s="43">
        <v>0</v>
      </c>
      <c r="K22" s="43">
        <v>0</v>
      </c>
      <c r="L22" s="43">
        <v>0</v>
      </c>
      <c r="M22" s="43">
        <v>0</v>
      </c>
      <c r="N22" s="43">
        <v>0</v>
      </c>
      <c r="O22" s="43">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A7:O7"/>
    <mergeCell ref="A8:O8"/>
    <mergeCell ref="A14:O14"/>
    <mergeCell ref="A15:O15"/>
    <mergeCell ref="J19:O19"/>
    <mergeCell ref="A9:O9"/>
    <mergeCell ref="A10:O10"/>
    <mergeCell ref="A11:O11"/>
    <mergeCell ref="A12:O12"/>
    <mergeCell ref="A13:O13"/>
    <mergeCell ref="B19:B20"/>
    <mergeCell ref="E19:I19"/>
    <mergeCell ref="A19:A20"/>
    <mergeCell ref="C19:C20"/>
    <mergeCell ref="D19:D20"/>
    <mergeCell ref="A16:O16"/>
    <mergeCell ref="A17:O17"/>
    <mergeCell ref="A18:O18"/>
  </mergeCells>
  <pageMargins left="0.70866141732283472" right="0.70866141732283472" top="0.74803149606299213" bottom="0.74803149606299213" header="0.31496062992125984" footer="0.31496062992125984"/>
  <pageSetup paperSize="8" scale="6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W201"/>
  <sheetViews>
    <sheetView zoomScale="80" zoomScaleNormal="80" workbookViewId="0">
      <selection activeCell="C67" sqref="C67"/>
    </sheetView>
  </sheetViews>
  <sheetFormatPr defaultColWidth="9.140625" defaultRowHeight="15.75" x14ac:dyDescent="0.2"/>
  <cols>
    <col min="1" max="1" width="61.7109375" style="110" customWidth="1"/>
    <col min="2" max="2" width="18.5703125" style="105" customWidth="1"/>
    <col min="3" max="13" width="16.85546875" style="105" customWidth="1"/>
    <col min="14" max="33" width="16.85546875" style="105" hidden="1" customWidth="1"/>
    <col min="34" max="34" width="9.140625" style="106" customWidth="1"/>
    <col min="35" max="234" width="9.140625" style="106"/>
    <col min="235" max="235" width="61.7109375" style="106" customWidth="1"/>
    <col min="236" max="236" width="18.5703125" style="106" customWidth="1"/>
    <col min="237" max="276" width="16.85546875" style="106" customWidth="1"/>
    <col min="277" max="278" width="18.5703125" style="106" customWidth="1"/>
    <col min="279" max="279" width="21.7109375" style="106" customWidth="1"/>
    <col min="280" max="490" width="9.140625" style="106"/>
    <col min="491" max="491" width="61.7109375" style="106" customWidth="1"/>
    <col min="492" max="492" width="18.5703125" style="106" customWidth="1"/>
    <col min="493" max="532" width="16.85546875" style="106" customWidth="1"/>
    <col min="533" max="534" width="18.5703125" style="106" customWidth="1"/>
    <col min="535" max="535" width="21.7109375" style="106" customWidth="1"/>
    <col min="536" max="746" width="9.140625" style="106"/>
    <col min="747" max="747" width="61.7109375" style="106" customWidth="1"/>
    <col min="748" max="748" width="18.5703125" style="106" customWidth="1"/>
    <col min="749" max="788" width="16.85546875" style="106" customWidth="1"/>
    <col min="789" max="790" width="18.5703125" style="106" customWidth="1"/>
    <col min="791" max="791" width="21.7109375" style="106" customWidth="1"/>
    <col min="792" max="1002" width="9.140625" style="106"/>
    <col min="1003" max="1003" width="61.7109375" style="106" customWidth="1"/>
    <col min="1004" max="1004" width="18.5703125" style="106" customWidth="1"/>
    <col min="1005" max="1044" width="16.85546875" style="106" customWidth="1"/>
    <col min="1045" max="1046" width="18.5703125" style="106" customWidth="1"/>
    <col min="1047" max="1047" width="21.7109375" style="106" customWidth="1"/>
    <col min="1048" max="1258" width="9.140625" style="106"/>
    <col min="1259" max="1259" width="61.7109375" style="106" customWidth="1"/>
    <col min="1260" max="1260" width="18.5703125" style="106" customWidth="1"/>
    <col min="1261" max="1300" width="16.85546875" style="106" customWidth="1"/>
    <col min="1301" max="1302" width="18.5703125" style="106" customWidth="1"/>
    <col min="1303" max="1303" width="21.7109375" style="106" customWidth="1"/>
    <col min="1304" max="1514" width="9.140625" style="106"/>
    <col min="1515" max="1515" width="61.7109375" style="106" customWidth="1"/>
    <col min="1516" max="1516" width="18.5703125" style="106" customWidth="1"/>
    <col min="1517" max="1556" width="16.85546875" style="106" customWidth="1"/>
    <col min="1557" max="1558" width="18.5703125" style="106" customWidth="1"/>
    <col min="1559" max="1559" width="21.7109375" style="106" customWidth="1"/>
    <col min="1560" max="1770" width="9.140625" style="106"/>
    <col min="1771" max="1771" width="61.7109375" style="106" customWidth="1"/>
    <col min="1772" max="1772" width="18.5703125" style="106" customWidth="1"/>
    <col min="1773" max="1812" width="16.85546875" style="106" customWidth="1"/>
    <col min="1813" max="1814" width="18.5703125" style="106" customWidth="1"/>
    <col min="1815" max="1815" width="21.7109375" style="106" customWidth="1"/>
    <col min="1816" max="2026" width="9.140625" style="106"/>
    <col min="2027" max="2027" width="61.7109375" style="106" customWidth="1"/>
    <col min="2028" max="2028" width="18.5703125" style="106" customWidth="1"/>
    <col min="2029" max="2068" width="16.85546875" style="106" customWidth="1"/>
    <col min="2069" max="2070" width="18.5703125" style="106" customWidth="1"/>
    <col min="2071" max="2071" width="21.7109375" style="106" customWidth="1"/>
    <col min="2072" max="2282" width="9.140625" style="106"/>
    <col min="2283" max="2283" width="61.7109375" style="106" customWidth="1"/>
    <col min="2284" max="2284" width="18.5703125" style="106" customWidth="1"/>
    <col min="2285" max="2324" width="16.85546875" style="106" customWidth="1"/>
    <col min="2325" max="2326" width="18.5703125" style="106" customWidth="1"/>
    <col min="2327" max="2327" width="21.7109375" style="106" customWidth="1"/>
    <col min="2328" max="2538" width="9.140625" style="106"/>
    <col min="2539" max="2539" width="61.7109375" style="106" customWidth="1"/>
    <col min="2540" max="2540" width="18.5703125" style="106" customWidth="1"/>
    <col min="2541" max="2580" width="16.85546875" style="106" customWidth="1"/>
    <col min="2581" max="2582" width="18.5703125" style="106" customWidth="1"/>
    <col min="2583" max="2583" width="21.7109375" style="106" customWidth="1"/>
    <col min="2584" max="2794" width="9.140625" style="106"/>
    <col min="2795" max="2795" width="61.7109375" style="106" customWidth="1"/>
    <col min="2796" max="2796" width="18.5703125" style="106" customWidth="1"/>
    <col min="2797" max="2836" width="16.85546875" style="106" customWidth="1"/>
    <col min="2837" max="2838" width="18.5703125" style="106" customWidth="1"/>
    <col min="2839" max="2839" width="21.7109375" style="106" customWidth="1"/>
    <col min="2840" max="3050" width="9.140625" style="106"/>
    <col min="3051" max="3051" width="61.7109375" style="106" customWidth="1"/>
    <col min="3052" max="3052" width="18.5703125" style="106" customWidth="1"/>
    <col min="3053" max="3092" width="16.85546875" style="106" customWidth="1"/>
    <col min="3093" max="3094" width="18.5703125" style="106" customWidth="1"/>
    <col min="3095" max="3095" width="21.7109375" style="106" customWidth="1"/>
    <col min="3096" max="3306" width="9.140625" style="106"/>
    <col min="3307" max="3307" width="61.7109375" style="106" customWidth="1"/>
    <col min="3308" max="3308" width="18.5703125" style="106" customWidth="1"/>
    <col min="3309" max="3348" width="16.85546875" style="106" customWidth="1"/>
    <col min="3349" max="3350" width="18.5703125" style="106" customWidth="1"/>
    <col min="3351" max="3351" width="21.7109375" style="106" customWidth="1"/>
    <col min="3352" max="3562" width="9.140625" style="106"/>
    <col min="3563" max="3563" width="61.7109375" style="106" customWidth="1"/>
    <col min="3564" max="3564" width="18.5703125" style="106" customWidth="1"/>
    <col min="3565" max="3604" width="16.85546875" style="106" customWidth="1"/>
    <col min="3605" max="3606" width="18.5703125" style="106" customWidth="1"/>
    <col min="3607" max="3607" width="21.7109375" style="106" customWidth="1"/>
    <col min="3608" max="3818" width="9.140625" style="106"/>
    <col min="3819" max="3819" width="61.7109375" style="106" customWidth="1"/>
    <col min="3820" max="3820" width="18.5703125" style="106" customWidth="1"/>
    <col min="3821" max="3860" width="16.85546875" style="106" customWidth="1"/>
    <col min="3861" max="3862" width="18.5703125" style="106" customWidth="1"/>
    <col min="3863" max="3863" width="21.7109375" style="106" customWidth="1"/>
    <col min="3864" max="4074" width="9.140625" style="106"/>
    <col min="4075" max="4075" width="61.7109375" style="106" customWidth="1"/>
    <col min="4076" max="4076" width="18.5703125" style="106" customWidth="1"/>
    <col min="4077" max="4116" width="16.85546875" style="106" customWidth="1"/>
    <col min="4117" max="4118" width="18.5703125" style="106" customWidth="1"/>
    <col min="4119" max="4119" width="21.7109375" style="106" customWidth="1"/>
    <col min="4120" max="4330" width="9.140625" style="106"/>
    <col min="4331" max="4331" width="61.7109375" style="106" customWidth="1"/>
    <col min="4332" max="4332" width="18.5703125" style="106" customWidth="1"/>
    <col min="4333" max="4372" width="16.85546875" style="106" customWidth="1"/>
    <col min="4373" max="4374" width="18.5703125" style="106" customWidth="1"/>
    <col min="4375" max="4375" width="21.7109375" style="106" customWidth="1"/>
    <col min="4376" max="4586" width="9.140625" style="106"/>
    <col min="4587" max="4587" width="61.7109375" style="106" customWidth="1"/>
    <col min="4588" max="4588" width="18.5703125" style="106" customWidth="1"/>
    <col min="4589" max="4628" width="16.85546875" style="106" customWidth="1"/>
    <col min="4629" max="4630" width="18.5703125" style="106" customWidth="1"/>
    <col min="4631" max="4631" width="21.7109375" style="106" customWidth="1"/>
    <col min="4632" max="4842" width="9.140625" style="106"/>
    <col min="4843" max="4843" width="61.7109375" style="106" customWidth="1"/>
    <col min="4844" max="4844" width="18.5703125" style="106" customWidth="1"/>
    <col min="4845" max="4884" width="16.85546875" style="106" customWidth="1"/>
    <col min="4885" max="4886" width="18.5703125" style="106" customWidth="1"/>
    <col min="4887" max="4887" width="21.7109375" style="106" customWidth="1"/>
    <col min="4888" max="5098" width="9.140625" style="106"/>
    <col min="5099" max="5099" width="61.7109375" style="106" customWidth="1"/>
    <col min="5100" max="5100" width="18.5703125" style="106" customWidth="1"/>
    <col min="5101" max="5140" width="16.85546875" style="106" customWidth="1"/>
    <col min="5141" max="5142" width="18.5703125" style="106" customWidth="1"/>
    <col min="5143" max="5143" width="21.7109375" style="106" customWidth="1"/>
    <col min="5144" max="5354" width="9.140625" style="106"/>
    <col min="5355" max="5355" width="61.7109375" style="106" customWidth="1"/>
    <col min="5356" max="5356" width="18.5703125" style="106" customWidth="1"/>
    <col min="5357" max="5396" width="16.85546875" style="106" customWidth="1"/>
    <col min="5397" max="5398" width="18.5703125" style="106" customWidth="1"/>
    <col min="5399" max="5399" width="21.7109375" style="106" customWidth="1"/>
    <col min="5400" max="5610" width="9.140625" style="106"/>
    <col min="5611" max="5611" width="61.7109375" style="106" customWidth="1"/>
    <col min="5612" max="5612" width="18.5703125" style="106" customWidth="1"/>
    <col min="5613" max="5652" width="16.85546875" style="106" customWidth="1"/>
    <col min="5653" max="5654" width="18.5703125" style="106" customWidth="1"/>
    <col min="5655" max="5655" width="21.7109375" style="106" customWidth="1"/>
    <col min="5656" max="5866" width="9.140625" style="106"/>
    <col min="5867" max="5867" width="61.7109375" style="106" customWidth="1"/>
    <col min="5868" max="5868" width="18.5703125" style="106" customWidth="1"/>
    <col min="5869" max="5908" width="16.85546875" style="106" customWidth="1"/>
    <col min="5909" max="5910" width="18.5703125" style="106" customWidth="1"/>
    <col min="5911" max="5911" width="21.7109375" style="106" customWidth="1"/>
    <col min="5912" max="6122" width="9.140625" style="106"/>
    <col min="6123" max="6123" width="61.7109375" style="106" customWidth="1"/>
    <col min="6124" max="6124" width="18.5703125" style="106" customWidth="1"/>
    <col min="6125" max="6164" width="16.85546875" style="106" customWidth="1"/>
    <col min="6165" max="6166" width="18.5703125" style="106" customWidth="1"/>
    <col min="6167" max="6167" width="21.7109375" style="106" customWidth="1"/>
    <col min="6168" max="6378" width="9.140625" style="106"/>
    <col min="6379" max="6379" width="61.7109375" style="106" customWidth="1"/>
    <col min="6380" max="6380" width="18.5703125" style="106" customWidth="1"/>
    <col min="6381" max="6420" width="16.85546875" style="106" customWidth="1"/>
    <col min="6421" max="6422" width="18.5703125" style="106" customWidth="1"/>
    <col min="6423" max="6423" width="21.7109375" style="106" customWidth="1"/>
    <col min="6424" max="6634" width="9.140625" style="106"/>
    <col min="6635" max="6635" width="61.7109375" style="106" customWidth="1"/>
    <col min="6636" max="6636" width="18.5703125" style="106" customWidth="1"/>
    <col min="6637" max="6676" width="16.85546875" style="106" customWidth="1"/>
    <col min="6677" max="6678" width="18.5703125" style="106" customWidth="1"/>
    <col min="6679" max="6679" width="21.7109375" style="106" customWidth="1"/>
    <col min="6680" max="6890" width="9.140625" style="106"/>
    <col min="6891" max="6891" width="61.7109375" style="106" customWidth="1"/>
    <col min="6892" max="6892" width="18.5703125" style="106" customWidth="1"/>
    <col min="6893" max="6932" width="16.85546875" style="106" customWidth="1"/>
    <col min="6933" max="6934" width="18.5703125" style="106" customWidth="1"/>
    <col min="6935" max="6935" width="21.7109375" style="106" customWidth="1"/>
    <col min="6936" max="7146" width="9.140625" style="106"/>
    <col min="7147" max="7147" width="61.7109375" style="106" customWidth="1"/>
    <col min="7148" max="7148" width="18.5703125" style="106" customWidth="1"/>
    <col min="7149" max="7188" width="16.85546875" style="106" customWidth="1"/>
    <col min="7189" max="7190" width="18.5703125" style="106" customWidth="1"/>
    <col min="7191" max="7191" width="21.7109375" style="106" customWidth="1"/>
    <col min="7192" max="7402" width="9.140625" style="106"/>
    <col min="7403" max="7403" width="61.7109375" style="106" customWidth="1"/>
    <col min="7404" max="7404" width="18.5703125" style="106" customWidth="1"/>
    <col min="7405" max="7444" width="16.85546875" style="106" customWidth="1"/>
    <col min="7445" max="7446" width="18.5703125" style="106" customWidth="1"/>
    <col min="7447" max="7447" width="21.7109375" style="106" customWidth="1"/>
    <col min="7448" max="7658" width="9.140625" style="106"/>
    <col min="7659" max="7659" width="61.7109375" style="106" customWidth="1"/>
    <col min="7660" max="7660" width="18.5703125" style="106" customWidth="1"/>
    <col min="7661" max="7700" width="16.85546875" style="106" customWidth="1"/>
    <col min="7701" max="7702" width="18.5703125" style="106" customWidth="1"/>
    <col min="7703" max="7703" width="21.7109375" style="106" customWidth="1"/>
    <col min="7704" max="7914" width="9.140625" style="106"/>
    <col min="7915" max="7915" width="61.7109375" style="106" customWidth="1"/>
    <col min="7916" max="7916" width="18.5703125" style="106" customWidth="1"/>
    <col min="7917" max="7956" width="16.85546875" style="106" customWidth="1"/>
    <col min="7957" max="7958" width="18.5703125" style="106" customWidth="1"/>
    <col min="7959" max="7959" width="21.7109375" style="106" customWidth="1"/>
    <col min="7960" max="8170" width="9.140625" style="106"/>
    <col min="8171" max="8171" width="61.7109375" style="106" customWidth="1"/>
    <col min="8172" max="8172" width="18.5703125" style="106" customWidth="1"/>
    <col min="8173" max="8212" width="16.85546875" style="106" customWidth="1"/>
    <col min="8213" max="8214" width="18.5703125" style="106" customWidth="1"/>
    <col min="8215" max="8215" width="21.7109375" style="106" customWidth="1"/>
    <col min="8216" max="8426" width="9.140625" style="106"/>
    <col min="8427" max="8427" width="61.7109375" style="106" customWidth="1"/>
    <col min="8428" max="8428" width="18.5703125" style="106" customWidth="1"/>
    <col min="8429" max="8468" width="16.85546875" style="106" customWidth="1"/>
    <col min="8469" max="8470" width="18.5703125" style="106" customWidth="1"/>
    <col min="8471" max="8471" width="21.7109375" style="106" customWidth="1"/>
    <col min="8472" max="8682" width="9.140625" style="106"/>
    <col min="8683" max="8683" width="61.7109375" style="106" customWidth="1"/>
    <col min="8684" max="8684" width="18.5703125" style="106" customWidth="1"/>
    <col min="8685" max="8724" width="16.85546875" style="106" customWidth="1"/>
    <col min="8725" max="8726" width="18.5703125" style="106" customWidth="1"/>
    <col min="8727" max="8727" width="21.7109375" style="106" customWidth="1"/>
    <col min="8728" max="8938" width="9.140625" style="106"/>
    <col min="8939" max="8939" width="61.7109375" style="106" customWidth="1"/>
    <col min="8940" max="8940" width="18.5703125" style="106" customWidth="1"/>
    <col min="8941" max="8980" width="16.85546875" style="106" customWidth="1"/>
    <col min="8981" max="8982" width="18.5703125" style="106" customWidth="1"/>
    <col min="8983" max="8983" width="21.7109375" style="106" customWidth="1"/>
    <col min="8984" max="9194" width="9.140625" style="106"/>
    <col min="9195" max="9195" width="61.7109375" style="106" customWidth="1"/>
    <col min="9196" max="9196" width="18.5703125" style="106" customWidth="1"/>
    <col min="9197" max="9236" width="16.85546875" style="106" customWidth="1"/>
    <col min="9237" max="9238" width="18.5703125" style="106" customWidth="1"/>
    <col min="9239" max="9239" width="21.7109375" style="106" customWidth="1"/>
    <col min="9240" max="9450" width="9.140625" style="106"/>
    <col min="9451" max="9451" width="61.7109375" style="106" customWidth="1"/>
    <col min="9452" max="9452" width="18.5703125" style="106" customWidth="1"/>
    <col min="9453" max="9492" width="16.85546875" style="106" customWidth="1"/>
    <col min="9493" max="9494" width="18.5703125" style="106" customWidth="1"/>
    <col min="9495" max="9495" width="21.7109375" style="106" customWidth="1"/>
    <col min="9496" max="9706" width="9.140625" style="106"/>
    <col min="9707" max="9707" width="61.7109375" style="106" customWidth="1"/>
    <col min="9708" max="9708" width="18.5703125" style="106" customWidth="1"/>
    <col min="9709" max="9748" width="16.85546875" style="106" customWidth="1"/>
    <col min="9749" max="9750" width="18.5703125" style="106" customWidth="1"/>
    <col min="9751" max="9751" width="21.7109375" style="106" customWidth="1"/>
    <col min="9752" max="9962" width="9.140625" style="106"/>
    <col min="9963" max="9963" width="61.7109375" style="106" customWidth="1"/>
    <col min="9964" max="9964" width="18.5703125" style="106" customWidth="1"/>
    <col min="9965" max="10004" width="16.85546875" style="106" customWidth="1"/>
    <col min="10005" max="10006" width="18.5703125" style="106" customWidth="1"/>
    <col min="10007" max="10007" width="21.7109375" style="106" customWidth="1"/>
    <col min="10008" max="10218" width="9.140625" style="106"/>
    <col min="10219" max="10219" width="61.7109375" style="106" customWidth="1"/>
    <col min="10220" max="10220" width="18.5703125" style="106" customWidth="1"/>
    <col min="10221" max="10260" width="16.85546875" style="106" customWidth="1"/>
    <col min="10261" max="10262" width="18.5703125" style="106" customWidth="1"/>
    <col min="10263" max="10263" width="21.7109375" style="106" customWidth="1"/>
    <col min="10264" max="10474" width="9.140625" style="106"/>
    <col min="10475" max="10475" width="61.7109375" style="106" customWidth="1"/>
    <col min="10476" max="10476" width="18.5703125" style="106" customWidth="1"/>
    <col min="10477" max="10516" width="16.85546875" style="106" customWidth="1"/>
    <col min="10517" max="10518" width="18.5703125" style="106" customWidth="1"/>
    <col min="10519" max="10519" width="21.7109375" style="106" customWidth="1"/>
    <col min="10520" max="10730" width="9.140625" style="106"/>
    <col min="10731" max="10731" width="61.7109375" style="106" customWidth="1"/>
    <col min="10732" max="10732" width="18.5703125" style="106" customWidth="1"/>
    <col min="10733" max="10772" width="16.85546875" style="106" customWidth="1"/>
    <col min="10773" max="10774" width="18.5703125" style="106" customWidth="1"/>
    <col min="10775" max="10775" width="21.7109375" style="106" customWidth="1"/>
    <col min="10776" max="10986" width="9.140625" style="106"/>
    <col min="10987" max="10987" width="61.7109375" style="106" customWidth="1"/>
    <col min="10988" max="10988" width="18.5703125" style="106" customWidth="1"/>
    <col min="10989" max="11028" width="16.85546875" style="106" customWidth="1"/>
    <col min="11029" max="11030" width="18.5703125" style="106" customWidth="1"/>
    <col min="11031" max="11031" width="21.7109375" style="106" customWidth="1"/>
    <col min="11032" max="11242" width="9.140625" style="106"/>
    <col min="11243" max="11243" width="61.7109375" style="106" customWidth="1"/>
    <col min="11244" max="11244" width="18.5703125" style="106" customWidth="1"/>
    <col min="11245" max="11284" width="16.85546875" style="106" customWidth="1"/>
    <col min="11285" max="11286" width="18.5703125" style="106" customWidth="1"/>
    <col min="11287" max="11287" width="21.7109375" style="106" customWidth="1"/>
    <col min="11288" max="11498" width="9.140625" style="106"/>
    <col min="11499" max="11499" width="61.7109375" style="106" customWidth="1"/>
    <col min="11500" max="11500" width="18.5703125" style="106" customWidth="1"/>
    <col min="11501" max="11540" width="16.85546875" style="106" customWidth="1"/>
    <col min="11541" max="11542" width="18.5703125" style="106" customWidth="1"/>
    <col min="11543" max="11543" width="21.7109375" style="106" customWidth="1"/>
    <col min="11544" max="11754" width="9.140625" style="106"/>
    <col min="11755" max="11755" width="61.7109375" style="106" customWidth="1"/>
    <col min="11756" max="11756" width="18.5703125" style="106" customWidth="1"/>
    <col min="11757" max="11796" width="16.85546875" style="106" customWidth="1"/>
    <col min="11797" max="11798" width="18.5703125" style="106" customWidth="1"/>
    <col min="11799" max="11799" width="21.7109375" style="106" customWidth="1"/>
    <col min="11800" max="12010" width="9.140625" style="106"/>
    <col min="12011" max="12011" width="61.7109375" style="106" customWidth="1"/>
    <col min="12012" max="12012" width="18.5703125" style="106" customWidth="1"/>
    <col min="12013" max="12052" width="16.85546875" style="106" customWidth="1"/>
    <col min="12053" max="12054" width="18.5703125" style="106" customWidth="1"/>
    <col min="12055" max="12055" width="21.7109375" style="106" customWidth="1"/>
    <col min="12056" max="12266" width="9.140625" style="106"/>
    <col min="12267" max="12267" width="61.7109375" style="106" customWidth="1"/>
    <col min="12268" max="12268" width="18.5703125" style="106" customWidth="1"/>
    <col min="12269" max="12308" width="16.85546875" style="106" customWidth="1"/>
    <col min="12309" max="12310" width="18.5703125" style="106" customWidth="1"/>
    <col min="12311" max="12311" width="21.7109375" style="106" customWidth="1"/>
    <col min="12312" max="12522" width="9.140625" style="106"/>
    <col min="12523" max="12523" width="61.7109375" style="106" customWidth="1"/>
    <col min="12524" max="12524" width="18.5703125" style="106" customWidth="1"/>
    <col min="12525" max="12564" width="16.85546875" style="106" customWidth="1"/>
    <col min="12565" max="12566" width="18.5703125" style="106" customWidth="1"/>
    <col min="12567" max="12567" width="21.7109375" style="106" customWidth="1"/>
    <col min="12568" max="12778" width="9.140625" style="106"/>
    <col min="12779" max="12779" width="61.7109375" style="106" customWidth="1"/>
    <col min="12780" max="12780" width="18.5703125" style="106" customWidth="1"/>
    <col min="12781" max="12820" width="16.85546875" style="106" customWidth="1"/>
    <col min="12821" max="12822" width="18.5703125" style="106" customWidth="1"/>
    <col min="12823" max="12823" width="21.7109375" style="106" customWidth="1"/>
    <col min="12824" max="13034" width="9.140625" style="106"/>
    <col min="13035" max="13035" width="61.7109375" style="106" customWidth="1"/>
    <col min="13036" max="13036" width="18.5703125" style="106" customWidth="1"/>
    <col min="13037" max="13076" width="16.85546875" style="106" customWidth="1"/>
    <col min="13077" max="13078" width="18.5703125" style="106" customWidth="1"/>
    <col min="13079" max="13079" width="21.7109375" style="106" customWidth="1"/>
    <col min="13080" max="13290" width="9.140625" style="106"/>
    <col min="13291" max="13291" width="61.7109375" style="106" customWidth="1"/>
    <col min="13292" max="13292" width="18.5703125" style="106" customWidth="1"/>
    <col min="13293" max="13332" width="16.85546875" style="106" customWidth="1"/>
    <col min="13333" max="13334" width="18.5703125" style="106" customWidth="1"/>
    <col min="13335" max="13335" width="21.7109375" style="106" customWidth="1"/>
    <col min="13336" max="13546" width="9.140625" style="106"/>
    <col min="13547" max="13547" width="61.7109375" style="106" customWidth="1"/>
    <col min="13548" max="13548" width="18.5703125" style="106" customWidth="1"/>
    <col min="13549" max="13588" width="16.85546875" style="106" customWidth="1"/>
    <col min="13589" max="13590" width="18.5703125" style="106" customWidth="1"/>
    <col min="13591" max="13591" width="21.7109375" style="106" customWidth="1"/>
    <col min="13592" max="13802" width="9.140625" style="106"/>
    <col min="13803" max="13803" width="61.7109375" style="106" customWidth="1"/>
    <col min="13804" max="13804" width="18.5703125" style="106" customWidth="1"/>
    <col min="13805" max="13844" width="16.85546875" style="106" customWidth="1"/>
    <col min="13845" max="13846" width="18.5703125" style="106" customWidth="1"/>
    <col min="13847" max="13847" width="21.7109375" style="106" customWidth="1"/>
    <col min="13848" max="14058" width="9.140625" style="106"/>
    <col min="14059" max="14059" width="61.7109375" style="106" customWidth="1"/>
    <col min="14060" max="14060" width="18.5703125" style="106" customWidth="1"/>
    <col min="14061" max="14100" width="16.85546875" style="106" customWidth="1"/>
    <col min="14101" max="14102" width="18.5703125" style="106" customWidth="1"/>
    <col min="14103" max="14103" width="21.7109375" style="106" customWidth="1"/>
    <col min="14104" max="14314" width="9.140625" style="106"/>
    <col min="14315" max="14315" width="61.7109375" style="106" customWidth="1"/>
    <col min="14316" max="14316" width="18.5703125" style="106" customWidth="1"/>
    <col min="14317" max="14356" width="16.85546875" style="106" customWidth="1"/>
    <col min="14357" max="14358" width="18.5703125" style="106" customWidth="1"/>
    <col min="14359" max="14359" width="21.7109375" style="106" customWidth="1"/>
    <col min="14360" max="14570" width="9.140625" style="106"/>
    <col min="14571" max="14571" width="61.7109375" style="106" customWidth="1"/>
    <col min="14572" max="14572" width="18.5703125" style="106" customWidth="1"/>
    <col min="14573" max="14612" width="16.85546875" style="106" customWidth="1"/>
    <col min="14613" max="14614" width="18.5703125" style="106" customWidth="1"/>
    <col min="14615" max="14615" width="21.7109375" style="106" customWidth="1"/>
    <col min="14616" max="14826" width="9.140625" style="106"/>
    <col min="14827" max="14827" width="61.7109375" style="106" customWidth="1"/>
    <col min="14828" max="14828" width="18.5703125" style="106" customWidth="1"/>
    <col min="14829" max="14868" width="16.85546875" style="106" customWidth="1"/>
    <col min="14869" max="14870" width="18.5703125" style="106" customWidth="1"/>
    <col min="14871" max="14871" width="21.7109375" style="106" customWidth="1"/>
    <col min="14872" max="15082" width="9.140625" style="106"/>
    <col min="15083" max="15083" width="61.7109375" style="106" customWidth="1"/>
    <col min="15084" max="15084" width="18.5703125" style="106" customWidth="1"/>
    <col min="15085" max="15124" width="16.85546875" style="106" customWidth="1"/>
    <col min="15125" max="15126" width="18.5703125" style="106" customWidth="1"/>
    <col min="15127" max="15127" width="21.7109375" style="106" customWidth="1"/>
    <col min="15128" max="15338" width="9.140625" style="106"/>
    <col min="15339" max="15339" width="61.7109375" style="106" customWidth="1"/>
    <col min="15340" max="15340" width="18.5703125" style="106" customWidth="1"/>
    <col min="15341" max="15380" width="16.85546875" style="106" customWidth="1"/>
    <col min="15381" max="15382" width="18.5703125" style="106" customWidth="1"/>
    <col min="15383" max="15383" width="21.7109375" style="106" customWidth="1"/>
    <col min="15384" max="15594" width="9.140625" style="106"/>
    <col min="15595" max="15595" width="61.7109375" style="106" customWidth="1"/>
    <col min="15596" max="15596" width="18.5703125" style="106" customWidth="1"/>
    <col min="15597" max="15636" width="16.85546875" style="106" customWidth="1"/>
    <col min="15637" max="15638" width="18.5703125" style="106" customWidth="1"/>
    <col min="15639" max="15639" width="21.7109375" style="106" customWidth="1"/>
    <col min="15640" max="15850" width="9.140625" style="106"/>
    <col min="15851" max="15851" width="61.7109375" style="106" customWidth="1"/>
    <col min="15852" max="15852" width="18.5703125" style="106" customWidth="1"/>
    <col min="15853" max="15892" width="16.85546875" style="106" customWidth="1"/>
    <col min="15893" max="15894" width="18.5703125" style="106" customWidth="1"/>
    <col min="15895" max="15895" width="21.7109375" style="106" customWidth="1"/>
    <col min="15896" max="16106" width="9.140625" style="106"/>
    <col min="16107" max="16107" width="61.7109375" style="106" customWidth="1"/>
    <col min="16108" max="16108" width="18.5703125" style="106" customWidth="1"/>
    <col min="16109" max="16148" width="16.85546875" style="106" customWidth="1"/>
    <col min="16149" max="16150" width="18.5703125" style="106" customWidth="1"/>
    <col min="16151" max="16151" width="21.7109375" style="106" customWidth="1"/>
    <col min="16152" max="16384" width="9.140625" style="106"/>
  </cols>
  <sheetData>
    <row r="1" spans="1:33" ht="18.75" x14ac:dyDescent="0.2">
      <c r="A1" s="17"/>
      <c r="B1" s="11"/>
      <c r="C1" s="11"/>
      <c r="D1" s="11"/>
      <c r="G1" s="11"/>
      <c r="H1" s="37" t="s">
        <v>65</v>
      </c>
      <c r="I1" s="15"/>
      <c r="J1" s="15"/>
      <c r="K1" s="37"/>
      <c r="L1" s="11"/>
      <c r="M1" s="11"/>
      <c r="N1" s="11"/>
      <c r="O1" s="11"/>
      <c r="P1" s="11"/>
      <c r="Q1" s="11"/>
      <c r="R1" s="11"/>
      <c r="S1" s="11"/>
      <c r="T1" s="11"/>
      <c r="U1" s="11"/>
      <c r="V1" s="11"/>
      <c r="W1" s="11"/>
      <c r="X1" s="11"/>
      <c r="Y1" s="11"/>
      <c r="Z1" s="11"/>
      <c r="AA1" s="11"/>
      <c r="AB1" s="11"/>
      <c r="AC1" s="11"/>
      <c r="AD1" s="11"/>
      <c r="AE1" s="11"/>
      <c r="AF1" s="11"/>
      <c r="AG1" s="11"/>
    </row>
    <row r="2" spans="1:33" ht="18.75" x14ac:dyDescent="0.3">
      <c r="A2" s="17"/>
      <c r="B2" s="11"/>
      <c r="C2" s="11"/>
      <c r="D2" s="11"/>
      <c r="E2" s="106"/>
      <c r="F2" s="106"/>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row>
    <row r="3" spans="1:33" ht="18.75" x14ac:dyDescent="0.3">
      <c r="A3" s="16"/>
      <c r="B3" s="11"/>
      <c r="C3" s="11"/>
      <c r="D3" s="11"/>
      <c r="E3" s="106"/>
      <c r="F3" s="106"/>
      <c r="G3" s="11"/>
      <c r="H3" s="14" t="s">
        <v>282</v>
      </c>
      <c r="I3" s="15"/>
      <c r="J3" s="15"/>
      <c r="K3" s="14"/>
      <c r="L3" s="11"/>
      <c r="M3" s="11"/>
      <c r="N3" s="11"/>
      <c r="O3" s="11"/>
      <c r="P3" s="11"/>
      <c r="Q3" s="11"/>
      <c r="R3" s="11"/>
      <c r="S3" s="11"/>
      <c r="T3" s="11"/>
      <c r="U3" s="11"/>
      <c r="V3" s="11"/>
      <c r="W3" s="11"/>
      <c r="X3" s="11"/>
      <c r="Y3" s="11"/>
      <c r="Z3" s="11"/>
      <c r="AA3" s="11"/>
      <c r="AB3" s="11"/>
      <c r="AC3" s="11"/>
      <c r="AD3" s="11"/>
      <c r="AE3" s="11"/>
      <c r="AF3" s="11"/>
      <c r="AG3" s="11"/>
    </row>
    <row r="4" spans="1:33"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row>
    <row r="5" spans="1:33" x14ac:dyDescent="0.2">
      <c r="A5" s="492" t="str">
        <f>'1. паспорт местоположение'!A5:C5</f>
        <v>Год раскрытия информации: 2025 год</v>
      </c>
      <c r="B5" s="492"/>
      <c r="C5" s="492"/>
      <c r="D5" s="492"/>
      <c r="E5" s="492"/>
      <c r="F5" s="492"/>
      <c r="G5" s="492"/>
      <c r="H5" s="492"/>
      <c r="I5" s="107"/>
      <c r="J5" s="107"/>
      <c r="K5" s="107"/>
      <c r="L5" s="107"/>
      <c r="M5" s="107"/>
      <c r="N5" s="107"/>
      <c r="O5" s="107"/>
      <c r="P5" s="107"/>
      <c r="Q5" s="107"/>
      <c r="R5" s="107"/>
      <c r="S5" s="107"/>
      <c r="T5" s="107"/>
      <c r="U5" s="107"/>
      <c r="V5" s="107"/>
      <c r="W5" s="107"/>
      <c r="X5" s="107"/>
      <c r="Y5" s="107"/>
      <c r="Z5" s="107"/>
      <c r="AA5" s="107"/>
      <c r="AB5" s="107"/>
      <c r="AC5" s="107"/>
      <c r="AD5" s="107"/>
      <c r="AE5" s="107"/>
      <c r="AF5" s="107"/>
      <c r="AG5" s="107"/>
    </row>
    <row r="6" spans="1:33"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row>
    <row r="7" spans="1:33" ht="18.75" x14ac:dyDescent="0.2">
      <c r="A7" s="431" t="s">
        <v>6</v>
      </c>
      <c r="B7" s="431"/>
      <c r="C7" s="431"/>
      <c r="D7" s="431"/>
      <c r="E7" s="431"/>
      <c r="F7" s="431"/>
      <c r="G7" s="431"/>
      <c r="H7" s="431"/>
      <c r="I7" s="92"/>
      <c r="J7" s="92"/>
      <c r="K7" s="92"/>
      <c r="L7" s="92"/>
      <c r="M7" s="92"/>
      <c r="N7" s="92"/>
      <c r="O7" s="92"/>
      <c r="P7" s="92"/>
      <c r="Q7" s="92"/>
      <c r="R7" s="92"/>
      <c r="S7" s="92"/>
      <c r="T7" s="92"/>
      <c r="U7" s="92"/>
      <c r="V7" s="92"/>
      <c r="W7" s="92"/>
      <c r="X7" s="92"/>
      <c r="Y7" s="92"/>
      <c r="Z7" s="92"/>
      <c r="AA7" s="92"/>
      <c r="AB7" s="92"/>
      <c r="AC7" s="92"/>
      <c r="AD7" s="92"/>
      <c r="AE7" s="92"/>
      <c r="AF7" s="92"/>
      <c r="AG7" s="92"/>
    </row>
    <row r="8" spans="1:33" ht="18.75" x14ac:dyDescent="0.2">
      <c r="A8" s="235"/>
      <c r="B8" s="235"/>
      <c r="C8" s="235"/>
      <c r="D8" s="235"/>
      <c r="E8" s="235"/>
      <c r="F8" s="235"/>
      <c r="G8" s="235"/>
      <c r="H8" s="235"/>
      <c r="I8" s="235"/>
      <c r="J8" s="235"/>
      <c r="K8" s="235"/>
      <c r="L8" s="92"/>
      <c r="M8" s="92"/>
      <c r="N8" s="92"/>
      <c r="O8" s="92"/>
      <c r="P8" s="92"/>
      <c r="Q8" s="92"/>
      <c r="R8" s="92"/>
      <c r="S8" s="92"/>
      <c r="T8" s="92"/>
      <c r="U8" s="92"/>
      <c r="V8" s="92"/>
      <c r="W8" s="92"/>
      <c r="X8" s="92"/>
      <c r="Y8" s="92"/>
      <c r="Z8" s="11"/>
      <c r="AA8" s="11"/>
      <c r="AB8" s="11"/>
      <c r="AC8" s="11"/>
      <c r="AD8" s="11"/>
      <c r="AE8" s="11"/>
      <c r="AF8" s="11"/>
      <c r="AG8" s="11"/>
    </row>
    <row r="9" spans="1:33" ht="18.75" x14ac:dyDescent="0.2">
      <c r="A9" s="430" t="str">
        <f>'1. паспорт местоположение'!A9:C9</f>
        <v>Акционерное общество "Россети Янтарь" ДЗО  ПАО "Россети"</v>
      </c>
      <c r="B9" s="430"/>
      <c r="C9" s="430"/>
      <c r="D9" s="430"/>
      <c r="E9" s="430"/>
      <c r="F9" s="430"/>
      <c r="G9" s="430"/>
      <c r="H9" s="430"/>
      <c r="I9" s="93"/>
      <c r="J9" s="93"/>
      <c r="K9" s="93"/>
      <c r="L9" s="93"/>
      <c r="M9" s="93"/>
      <c r="N9" s="93"/>
      <c r="O9" s="93"/>
      <c r="P9" s="93"/>
      <c r="Q9" s="93"/>
      <c r="R9" s="93"/>
      <c r="S9" s="93"/>
      <c r="T9" s="93"/>
      <c r="U9" s="93"/>
      <c r="V9" s="93"/>
      <c r="W9" s="93"/>
      <c r="X9" s="93"/>
      <c r="Y9" s="93"/>
      <c r="Z9" s="93"/>
      <c r="AA9" s="93"/>
      <c r="AB9" s="93"/>
      <c r="AC9" s="93"/>
      <c r="AD9" s="93"/>
      <c r="AE9" s="93"/>
      <c r="AF9" s="93"/>
      <c r="AG9" s="93"/>
    </row>
    <row r="10" spans="1:33" x14ac:dyDescent="0.2">
      <c r="A10" s="428" t="s">
        <v>5</v>
      </c>
      <c r="B10" s="428"/>
      <c r="C10" s="428"/>
      <c r="D10" s="428"/>
      <c r="E10" s="428"/>
      <c r="F10" s="428"/>
      <c r="G10" s="428"/>
      <c r="H10" s="428"/>
      <c r="I10" s="94"/>
      <c r="J10" s="94"/>
      <c r="K10" s="94"/>
      <c r="L10" s="94"/>
      <c r="M10" s="94"/>
      <c r="N10" s="94"/>
      <c r="O10" s="94"/>
      <c r="P10" s="94"/>
      <c r="Q10" s="94"/>
      <c r="R10" s="94"/>
      <c r="S10" s="94"/>
      <c r="T10" s="94"/>
      <c r="U10" s="94"/>
      <c r="V10" s="94"/>
      <c r="W10" s="94"/>
      <c r="X10" s="94"/>
      <c r="Y10" s="94"/>
      <c r="Z10" s="94"/>
      <c r="AA10" s="94"/>
      <c r="AB10" s="94"/>
      <c r="AC10" s="94"/>
      <c r="AD10" s="94"/>
      <c r="AE10" s="94"/>
      <c r="AF10" s="94"/>
      <c r="AG10" s="94"/>
    </row>
    <row r="11" spans="1:33" ht="18.75" x14ac:dyDescent="0.2">
      <c r="A11" s="235"/>
      <c r="B11" s="235"/>
      <c r="C11" s="235"/>
      <c r="D11" s="235"/>
      <c r="E11" s="235"/>
      <c r="F11" s="235"/>
      <c r="G11" s="235"/>
      <c r="H11" s="235"/>
      <c r="I11" s="235"/>
      <c r="J11" s="235"/>
      <c r="K11" s="235"/>
      <c r="L11" s="92"/>
      <c r="M11" s="92"/>
      <c r="N11" s="92"/>
      <c r="O11" s="92"/>
      <c r="P11" s="92"/>
      <c r="Q11" s="92"/>
      <c r="R11" s="92"/>
      <c r="S11" s="92"/>
      <c r="T11" s="92"/>
      <c r="U11" s="92"/>
      <c r="V11" s="92"/>
      <c r="W11" s="92"/>
      <c r="X11" s="92"/>
      <c r="Y11" s="92"/>
      <c r="Z11" s="11"/>
      <c r="AA11" s="11"/>
      <c r="AB11" s="11"/>
      <c r="AC11" s="11"/>
      <c r="AD11" s="11"/>
      <c r="AE11" s="11"/>
      <c r="AF11" s="11"/>
      <c r="AG11" s="11"/>
    </row>
    <row r="12" spans="1:33" ht="18.75" x14ac:dyDescent="0.2">
      <c r="A12" s="430" t="str">
        <f>'1. паспорт местоположение'!A12:C12</f>
        <v>N_19-1035-1</v>
      </c>
      <c r="B12" s="430"/>
      <c r="C12" s="430"/>
      <c r="D12" s="430"/>
      <c r="E12" s="430"/>
      <c r="F12" s="430"/>
      <c r="G12" s="430"/>
      <c r="H12" s="430"/>
      <c r="I12" s="93"/>
      <c r="J12" s="93"/>
      <c r="K12" s="93"/>
      <c r="L12" s="93"/>
      <c r="M12" s="93"/>
      <c r="N12" s="93"/>
      <c r="O12" s="93"/>
      <c r="P12" s="93"/>
      <c r="Q12" s="93"/>
      <c r="R12" s="93"/>
      <c r="S12" s="93"/>
      <c r="T12" s="93"/>
      <c r="U12" s="93"/>
      <c r="V12" s="93"/>
      <c r="W12" s="93"/>
      <c r="X12" s="93"/>
      <c r="Y12" s="93"/>
      <c r="Z12" s="93"/>
      <c r="AA12" s="93"/>
      <c r="AB12" s="93"/>
      <c r="AC12" s="93"/>
      <c r="AD12" s="93"/>
      <c r="AE12" s="93"/>
      <c r="AF12" s="93"/>
      <c r="AG12" s="93"/>
    </row>
    <row r="13" spans="1:33" x14ac:dyDescent="0.2">
      <c r="A13" s="428" t="s">
        <v>4</v>
      </c>
      <c r="B13" s="428"/>
      <c r="C13" s="428"/>
      <c r="D13" s="428"/>
      <c r="E13" s="428"/>
      <c r="F13" s="428"/>
      <c r="G13" s="428"/>
      <c r="H13" s="428"/>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94"/>
    </row>
    <row r="14" spans="1:33" ht="18.75" x14ac:dyDescent="0.2">
      <c r="A14" s="239"/>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8"/>
      <c r="AA14" s="8"/>
      <c r="AB14" s="8"/>
      <c r="AC14" s="8"/>
      <c r="AD14" s="8"/>
      <c r="AE14" s="8"/>
      <c r="AF14" s="8"/>
      <c r="AG14" s="8"/>
    </row>
    <row r="15" spans="1:33" ht="96" customHeight="1" x14ac:dyDescent="0.2">
      <c r="A15" s="493" t="str">
        <f>'1. паспорт местоположение'!A15:C15</f>
        <v>Реконструкция ЛЭП 0,23 кВ с переводом на напряжение 0,4 кВ: демонтаж ЛЭП 0,23 кВ протяженностью 1,055 км, строительство ЛЭП 0,4 кВ протяженностью 1,493 км, демонтаж ТП 6/0,23 кВ ТП-73 мощностью 0,15 МВА, демонтаж трансформатора 6/0,23 кВ  0,185 МВА в РП-VI, дооборудование резервной ячейки в РП-VI вакуумным выключателем 6 кВ и строительство 0,506 км кабельных линий 6 кВ в г. Калининграде</v>
      </c>
      <c r="B15" s="493"/>
      <c r="C15" s="493"/>
      <c r="D15" s="493"/>
      <c r="E15" s="493"/>
      <c r="F15" s="493"/>
      <c r="G15" s="493"/>
      <c r="H15" s="493"/>
      <c r="I15" s="93"/>
      <c r="J15" s="93"/>
      <c r="K15" s="93"/>
      <c r="L15" s="93"/>
      <c r="M15" s="93"/>
      <c r="N15" s="93"/>
      <c r="O15" s="93"/>
      <c r="P15" s="93"/>
      <c r="Q15" s="93"/>
      <c r="R15" s="93"/>
      <c r="S15" s="93"/>
      <c r="T15" s="93"/>
      <c r="U15" s="93"/>
      <c r="V15" s="93"/>
      <c r="W15" s="93"/>
      <c r="X15" s="93"/>
      <c r="Y15" s="93"/>
      <c r="Z15" s="93"/>
      <c r="AA15" s="93"/>
      <c r="AB15" s="93"/>
      <c r="AC15" s="93"/>
      <c r="AD15" s="93"/>
      <c r="AE15" s="93"/>
      <c r="AF15" s="93"/>
      <c r="AG15" s="93"/>
    </row>
    <row r="16" spans="1:33" x14ac:dyDescent="0.2">
      <c r="A16" s="428" t="s">
        <v>3</v>
      </c>
      <c r="B16" s="428"/>
      <c r="C16" s="428"/>
      <c r="D16" s="428"/>
      <c r="E16" s="428"/>
      <c r="F16" s="428"/>
      <c r="G16" s="428"/>
      <c r="H16" s="428"/>
      <c r="I16" s="94"/>
      <c r="J16" s="94"/>
      <c r="K16" s="94"/>
      <c r="L16" s="94"/>
      <c r="M16" s="94"/>
      <c r="N16" s="94"/>
      <c r="O16" s="94"/>
      <c r="P16" s="94"/>
      <c r="Q16" s="94"/>
      <c r="R16" s="94"/>
      <c r="S16" s="94"/>
      <c r="T16" s="94"/>
      <c r="U16" s="94"/>
      <c r="V16" s="94"/>
      <c r="W16" s="94"/>
      <c r="X16" s="94"/>
      <c r="Y16" s="94"/>
      <c r="Z16" s="94"/>
      <c r="AA16" s="94"/>
      <c r="AB16" s="94"/>
      <c r="AC16" s="94"/>
      <c r="AD16" s="94"/>
      <c r="AE16" s="94"/>
      <c r="AF16" s="94"/>
      <c r="AG16" s="94"/>
    </row>
    <row r="17" spans="1:33" ht="18.75" x14ac:dyDescent="0.2">
      <c r="A17" s="238"/>
      <c r="B17" s="238"/>
      <c r="C17" s="238"/>
      <c r="D17" s="238"/>
      <c r="E17" s="238"/>
      <c r="F17" s="238"/>
      <c r="G17" s="238"/>
      <c r="H17" s="238"/>
      <c r="I17" s="238"/>
      <c r="J17" s="238"/>
      <c r="K17" s="238"/>
      <c r="L17" s="238"/>
      <c r="M17" s="238"/>
      <c r="N17" s="238"/>
      <c r="O17" s="238"/>
      <c r="P17" s="238"/>
      <c r="Q17" s="238"/>
      <c r="R17" s="238"/>
      <c r="S17" s="238"/>
      <c r="T17" s="238"/>
      <c r="U17" s="238"/>
      <c r="V17" s="238"/>
      <c r="W17" s="3"/>
      <c r="X17" s="3"/>
      <c r="Y17" s="3"/>
      <c r="Z17" s="3"/>
      <c r="AA17" s="3"/>
      <c r="AB17" s="3"/>
      <c r="AC17" s="3"/>
      <c r="AD17" s="3"/>
      <c r="AE17" s="3"/>
      <c r="AF17" s="3"/>
      <c r="AG17" s="3"/>
    </row>
    <row r="18" spans="1:33" ht="18.75" x14ac:dyDescent="0.2">
      <c r="A18" s="430" t="s">
        <v>389</v>
      </c>
      <c r="B18" s="430"/>
      <c r="C18" s="430"/>
      <c r="D18" s="430"/>
      <c r="E18" s="430"/>
      <c r="F18" s="430"/>
      <c r="G18" s="430"/>
      <c r="H18" s="430"/>
      <c r="I18" s="6"/>
      <c r="J18" s="6"/>
      <c r="K18" s="6"/>
      <c r="L18" s="6"/>
      <c r="M18" s="6"/>
      <c r="N18" s="6"/>
      <c r="O18" s="6"/>
      <c r="P18" s="6"/>
      <c r="Q18" s="6"/>
      <c r="R18" s="6"/>
      <c r="S18" s="6"/>
      <c r="T18" s="6"/>
      <c r="U18" s="6"/>
      <c r="V18" s="6"/>
      <c r="W18" s="6"/>
      <c r="X18" s="6"/>
      <c r="Y18" s="6"/>
      <c r="Z18" s="6"/>
      <c r="AA18" s="6"/>
      <c r="AB18" s="6"/>
      <c r="AC18" s="6"/>
      <c r="AD18" s="6"/>
      <c r="AE18" s="6"/>
      <c r="AF18" s="6"/>
      <c r="AG18" s="6"/>
    </row>
    <row r="19" spans="1:33" x14ac:dyDescent="0.2">
      <c r="A19" s="108"/>
      <c r="Q19" s="109"/>
    </row>
    <row r="20" spans="1:33" x14ac:dyDescent="0.2">
      <c r="A20" s="108"/>
      <c r="Q20" s="109"/>
    </row>
    <row r="21" spans="1:33" x14ac:dyDescent="0.2">
      <c r="A21" s="108"/>
      <c r="Q21" s="109"/>
    </row>
    <row r="22" spans="1:33" x14ac:dyDescent="0.2">
      <c r="A22" s="108"/>
      <c r="Q22" s="109"/>
    </row>
    <row r="23" spans="1:33" x14ac:dyDescent="0.2">
      <c r="D23" s="111"/>
      <c r="Q23" s="109"/>
    </row>
    <row r="24" spans="1:33" ht="16.5" thickBot="1" x14ac:dyDescent="0.25">
      <c r="A24" s="112" t="s">
        <v>281</v>
      </c>
      <c r="B24" s="113" t="s">
        <v>0</v>
      </c>
      <c r="D24" s="114"/>
      <c r="E24" s="115"/>
      <c r="F24" s="115"/>
      <c r="G24" s="115"/>
      <c r="H24" s="115"/>
    </row>
    <row r="25" spans="1:33" x14ac:dyDescent="0.2">
      <c r="A25" s="116" t="s">
        <v>424</v>
      </c>
      <c r="B25" s="117">
        <f>'6.2. Паспорт фин осв ввод '!C30*1000000</f>
        <v>17326238.699999999</v>
      </c>
    </row>
    <row r="26" spans="1:33" x14ac:dyDescent="0.2">
      <c r="A26" s="118" t="s">
        <v>279</v>
      </c>
      <c r="B26" s="119">
        <v>0</v>
      </c>
    </row>
    <row r="27" spans="1:33" x14ac:dyDescent="0.2">
      <c r="A27" s="118" t="s">
        <v>277</v>
      </c>
      <c r="B27" s="119">
        <v>30</v>
      </c>
      <c r="D27" s="111" t="s">
        <v>280</v>
      </c>
    </row>
    <row r="28" spans="1:33" ht="16.149999999999999" customHeight="1" thickBot="1" x14ac:dyDescent="0.25">
      <c r="A28" s="120" t="s">
        <v>275</v>
      </c>
      <c r="B28" s="121">
        <v>1</v>
      </c>
      <c r="D28" s="487" t="s">
        <v>278</v>
      </c>
      <c r="E28" s="488"/>
      <c r="F28" s="489"/>
      <c r="G28" s="490" t="str">
        <f>IF(SUM(B89:L89)=0,"не окупается",SUM(B89:L89))</f>
        <v>не окупается</v>
      </c>
      <c r="H28" s="491"/>
    </row>
    <row r="29" spans="1:33" ht="15.6" customHeight="1" x14ac:dyDescent="0.2">
      <c r="A29" s="116" t="s">
        <v>273</v>
      </c>
      <c r="B29" s="117">
        <f>B25*0.01</f>
        <v>173262.38699999999</v>
      </c>
      <c r="D29" s="487" t="s">
        <v>276</v>
      </c>
      <c r="E29" s="488"/>
      <c r="F29" s="489"/>
      <c r="G29" s="490" t="str">
        <f>IF(SUM(B90:L90)=0,"не окупается",SUM(B90:L90))</f>
        <v>не окупается</v>
      </c>
      <c r="H29" s="491"/>
    </row>
    <row r="30" spans="1:33" ht="27.6" customHeight="1" x14ac:dyDescent="0.2">
      <c r="A30" s="118" t="s">
        <v>425</v>
      </c>
      <c r="B30" s="119">
        <v>6</v>
      </c>
      <c r="D30" s="487" t="s">
        <v>274</v>
      </c>
      <c r="E30" s="488"/>
      <c r="F30" s="489"/>
      <c r="G30" s="496">
        <f>L87</f>
        <v>-16317968.872769266</v>
      </c>
      <c r="H30" s="497"/>
    </row>
    <row r="31" spans="1:33" x14ac:dyDescent="0.2">
      <c r="A31" s="118" t="s">
        <v>272</v>
      </c>
      <c r="B31" s="119">
        <v>6</v>
      </c>
      <c r="D31" s="498"/>
      <c r="E31" s="499"/>
      <c r="F31" s="500"/>
      <c r="G31" s="498"/>
      <c r="H31" s="500"/>
    </row>
    <row r="32" spans="1:33" x14ac:dyDescent="0.2">
      <c r="A32" s="118" t="s">
        <v>250</v>
      </c>
      <c r="B32" s="119"/>
    </row>
    <row r="33" spans="1:33" x14ac:dyDescent="0.2">
      <c r="A33" s="118" t="s">
        <v>271</v>
      </c>
      <c r="B33" s="119"/>
    </row>
    <row r="34" spans="1:33" x14ac:dyDescent="0.2">
      <c r="A34" s="118" t="s">
        <v>270</v>
      </c>
      <c r="B34" s="119"/>
    </row>
    <row r="35" spans="1:33" x14ac:dyDescent="0.2">
      <c r="A35" s="122"/>
      <c r="B35" s="119"/>
    </row>
    <row r="36" spans="1:33" ht="16.5" thickBot="1" x14ac:dyDescent="0.25">
      <c r="A36" s="120" t="s">
        <v>242</v>
      </c>
      <c r="B36" s="123">
        <v>0.2</v>
      </c>
    </row>
    <row r="37" spans="1:33" x14ac:dyDescent="0.2">
      <c r="A37" s="116" t="s">
        <v>426</v>
      </c>
      <c r="B37" s="117">
        <v>0</v>
      </c>
    </row>
    <row r="38" spans="1:33" x14ac:dyDescent="0.2">
      <c r="A38" s="118" t="s">
        <v>269</v>
      </c>
      <c r="B38" s="119"/>
    </row>
    <row r="39" spans="1:33" ht="16.5" thickBot="1" x14ac:dyDescent="0.25">
      <c r="A39" s="124" t="s">
        <v>268</v>
      </c>
      <c r="B39" s="125"/>
    </row>
    <row r="40" spans="1:33" x14ac:dyDescent="0.2">
      <c r="A40" s="126" t="s">
        <v>427</v>
      </c>
      <c r="B40" s="127">
        <v>1</v>
      </c>
    </row>
    <row r="41" spans="1:33" x14ac:dyDescent="0.2">
      <c r="A41" s="128" t="s">
        <v>267</v>
      </c>
      <c r="B41" s="129"/>
    </row>
    <row r="42" spans="1:33" x14ac:dyDescent="0.2">
      <c r="A42" s="128" t="s">
        <v>266</v>
      </c>
      <c r="B42" s="130"/>
    </row>
    <row r="43" spans="1:33" x14ac:dyDescent="0.2">
      <c r="A43" s="128" t="s">
        <v>265</v>
      </c>
      <c r="B43" s="130">
        <v>0</v>
      </c>
    </row>
    <row r="44" spans="1:33" x14ac:dyDescent="0.2">
      <c r="A44" s="128" t="s">
        <v>264</v>
      </c>
      <c r="B44" s="130">
        <f>B124</f>
        <v>0.1371</v>
      </c>
    </row>
    <row r="45" spans="1:33" x14ac:dyDescent="0.2">
      <c r="A45" s="128" t="s">
        <v>263</v>
      </c>
      <c r="B45" s="130">
        <f>1-B43</f>
        <v>1</v>
      </c>
    </row>
    <row r="46" spans="1:33" ht="16.5" thickBot="1" x14ac:dyDescent="0.25">
      <c r="A46" s="131" t="s">
        <v>262</v>
      </c>
      <c r="B46" s="132">
        <f>B45*B44+B43*B42*(1-B36)</f>
        <v>0.1371</v>
      </c>
      <c r="C46" s="133"/>
    </row>
    <row r="47" spans="1:33" s="136" customFormat="1" x14ac:dyDescent="0.2">
      <c r="A47" s="134" t="s">
        <v>261</v>
      </c>
      <c r="B47" s="135">
        <f>B58</f>
        <v>1</v>
      </c>
      <c r="C47" s="135">
        <f t="shared" ref="C47:AG47" si="0">C58</f>
        <v>2</v>
      </c>
      <c r="D47" s="135">
        <f t="shared" si="0"/>
        <v>3</v>
      </c>
      <c r="E47" s="135">
        <f t="shared" si="0"/>
        <v>4</v>
      </c>
      <c r="F47" s="135">
        <f t="shared" si="0"/>
        <v>5</v>
      </c>
      <c r="G47" s="135">
        <f t="shared" si="0"/>
        <v>6</v>
      </c>
      <c r="H47" s="135">
        <f t="shared" si="0"/>
        <v>7</v>
      </c>
      <c r="I47" s="135">
        <f t="shared" si="0"/>
        <v>8</v>
      </c>
      <c r="J47" s="135">
        <f t="shared" si="0"/>
        <v>9</v>
      </c>
      <c r="K47" s="135">
        <f t="shared" si="0"/>
        <v>10</v>
      </c>
      <c r="L47" s="135">
        <f t="shared" si="0"/>
        <v>11</v>
      </c>
      <c r="M47" s="135">
        <f t="shared" si="0"/>
        <v>12</v>
      </c>
      <c r="N47" s="135">
        <f t="shared" si="0"/>
        <v>13</v>
      </c>
      <c r="O47" s="135">
        <f t="shared" si="0"/>
        <v>14</v>
      </c>
      <c r="P47" s="135">
        <f t="shared" si="0"/>
        <v>15</v>
      </c>
      <c r="Q47" s="135">
        <f t="shared" si="0"/>
        <v>16</v>
      </c>
      <c r="R47" s="135">
        <f t="shared" si="0"/>
        <v>17</v>
      </c>
      <c r="S47" s="135">
        <f t="shared" si="0"/>
        <v>18</v>
      </c>
      <c r="T47" s="135">
        <f t="shared" si="0"/>
        <v>19</v>
      </c>
      <c r="U47" s="135">
        <f t="shared" si="0"/>
        <v>20</v>
      </c>
      <c r="V47" s="135">
        <f t="shared" si="0"/>
        <v>21</v>
      </c>
      <c r="W47" s="135">
        <f t="shared" si="0"/>
        <v>22</v>
      </c>
      <c r="X47" s="135">
        <f t="shared" si="0"/>
        <v>23</v>
      </c>
      <c r="Y47" s="135">
        <f t="shared" si="0"/>
        <v>24</v>
      </c>
      <c r="Z47" s="135">
        <f t="shared" si="0"/>
        <v>25</v>
      </c>
      <c r="AA47" s="135">
        <f t="shared" si="0"/>
        <v>26</v>
      </c>
      <c r="AB47" s="135">
        <f t="shared" si="0"/>
        <v>27</v>
      </c>
      <c r="AC47" s="135">
        <f t="shared" si="0"/>
        <v>28</v>
      </c>
      <c r="AD47" s="135">
        <f t="shared" si="0"/>
        <v>29</v>
      </c>
      <c r="AE47" s="135">
        <f t="shared" si="0"/>
        <v>30</v>
      </c>
      <c r="AF47" s="135">
        <f t="shared" si="0"/>
        <v>31</v>
      </c>
      <c r="AG47" s="135">
        <f t="shared" si="0"/>
        <v>32</v>
      </c>
    </row>
    <row r="48" spans="1:33" s="136" customFormat="1" x14ac:dyDescent="0.2">
      <c r="A48" s="137" t="s">
        <v>260</v>
      </c>
      <c r="B48" s="241">
        <f>C129</f>
        <v>9.1135032622053413E-2</v>
      </c>
      <c r="C48" s="241">
        <f t="shared" ref="C48:M48" si="1">D129</f>
        <v>7.8163170639641913E-2</v>
      </c>
      <c r="D48" s="241">
        <f t="shared" si="1"/>
        <v>5.2628968689616612E-2</v>
      </c>
      <c r="E48" s="241">
        <f t="shared" si="1"/>
        <v>4.4208979893394937E-2</v>
      </c>
      <c r="F48" s="241">
        <f t="shared" si="1"/>
        <v>4.4208979893394937E-2</v>
      </c>
      <c r="G48" s="241">
        <f t="shared" si="1"/>
        <v>4.4208979893394937E-2</v>
      </c>
      <c r="H48" s="241">
        <f t="shared" si="1"/>
        <v>4.4208979893394937E-2</v>
      </c>
      <c r="I48" s="241">
        <f t="shared" si="1"/>
        <v>4.4208979893394937E-2</v>
      </c>
      <c r="J48" s="241">
        <f t="shared" si="1"/>
        <v>4.4208979893394937E-2</v>
      </c>
      <c r="K48" s="241">
        <f t="shared" si="1"/>
        <v>4.4208979893394937E-2</v>
      </c>
      <c r="L48" s="241">
        <f t="shared" si="1"/>
        <v>4.4208979893394937E-2</v>
      </c>
      <c r="M48" s="241">
        <f t="shared" si="1"/>
        <v>4.4208979893394937E-2</v>
      </c>
      <c r="N48" s="241">
        <f t="shared" ref="N48:AG48" si="2">N129</f>
        <v>4.4208979893394937E-2</v>
      </c>
      <c r="O48" s="241">
        <f t="shared" si="2"/>
        <v>4.4208979893394937E-2</v>
      </c>
      <c r="P48" s="241">
        <f t="shared" si="2"/>
        <v>4.4208979893394937E-2</v>
      </c>
      <c r="Q48" s="241">
        <f t="shared" si="2"/>
        <v>4.4208979893394937E-2</v>
      </c>
      <c r="R48" s="241">
        <f t="shared" si="2"/>
        <v>4.4208979893394937E-2</v>
      </c>
      <c r="S48" s="241">
        <f t="shared" si="2"/>
        <v>4.4208979893394937E-2</v>
      </c>
      <c r="T48" s="241">
        <f t="shared" si="2"/>
        <v>4.4208979893394937E-2</v>
      </c>
      <c r="U48" s="241">
        <f t="shared" si="2"/>
        <v>4.4208979893394937E-2</v>
      </c>
      <c r="V48" s="241">
        <f t="shared" si="2"/>
        <v>4.4208979893394937E-2</v>
      </c>
      <c r="W48" s="241">
        <f t="shared" si="2"/>
        <v>4.4208979893394937E-2</v>
      </c>
      <c r="X48" s="241">
        <f t="shared" si="2"/>
        <v>4.4208979893394937E-2</v>
      </c>
      <c r="Y48" s="241">
        <f t="shared" si="2"/>
        <v>4.4208979893394937E-2</v>
      </c>
      <c r="Z48" s="241">
        <f t="shared" si="2"/>
        <v>4.4208979893394937E-2</v>
      </c>
      <c r="AA48" s="241">
        <f t="shared" si="2"/>
        <v>4.4208979893394937E-2</v>
      </c>
      <c r="AB48" s="241">
        <f t="shared" si="2"/>
        <v>4.4208979893394937E-2</v>
      </c>
      <c r="AC48" s="241">
        <f t="shared" si="2"/>
        <v>4.4208979893394937E-2</v>
      </c>
      <c r="AD48" s="241">
        <f t="shared" si="2"/>
        <v>4.4208979893394937E-2</v>
      </c>
      <c r="AE48" s="241">
        <f t="shared" si="2"/>
        <v>4.4208979893394937E-2</v>
      </c>
      <c r="AF48" s="241">
        <f t="shared" si="2"/>
        <v>4.4208979893394937E-2</v>
      </c>
      <c r="AG48" s="241">
        <f t="shared" si="2"/>
        <v>4.4208979893394937E-2</v>
      </c>
    </row>
    <row r="49" spans="1:33" s="136" customFormat="1" x14ac:dyDescent="0.2">
      <c r="A49" s="137" t="s">
        <v>259</v>
      </c>
      <c r="B49" s="241">
        <f>C130</f>
        <v>9.1135032622053413E-2</v>
      </c>
      <c r="C49" s="241">
        <f t="shared" ref="C49:M49" si="3">D130</f>
        <v>0.17642160636778237</v>
      </c>
      <c r="D49" s="241">
        <f t="shared" si="3"/>
        <v>0.23833546225510083</v>
      </c>
      <c r="E49" s="241">
        <f t="shared" si="3"/>
        <v>0.29308100980721452</v>
      </c>
      <c r="F49" s="241">
        <f t="shared" si="3"/>
        <v>0.35024680217031245</v>
      </c>
      <c r="G49" s="241">
        <f t="shared" si="3"/>
        <v>0.40993983589858063</v>
      </c>
      <c r="H49" s="241">
        <f t="shared" si="3"/>
        <v>0.47227183775471748</v>
      </c>
      <c r="I49" s="241">
        <f t="shared" si="3"/>
        <v>0.53735947382762728</v>
      </c>
      <c r="J49" s="241">
        <f t="shared" si="3"/>
        <v>0.605324567894993</v>
      </c>
      <c r="K49" s="241">
        <f t="shared" si="3"/>
        <v>0.67629432943943568</v>
      </c>
      <c r="L49" s="241">
        <f t="shared" si="3"/>
        <v>0.75040159174503551</v>
      </c>
      <c r="M49" s="241">
        <f t="shared" si="3"/>
        <v>0.82778506051985823</v>
      </c>
      <c r="N49" s="241">
        <f t="shared" ref="N49:AG49" si="4">N130</f>
        <v>0.82778506051985823</v>
      </c>
      <c r="O49" s="241">
        <f t="shared" si="4"/>
        <v>0.90858957350982816</v>
      </c>
      <c r="P49" s="241">
        <f t="shared" si="4"/>
        <v>0.99296637158986734</v>
      </c>
      <c r="Q49" s="241">
        <f t="shared" si="4"/>
        <v>1.0810733818396958</v>
      </c>
      <c r="R49" s="241">
        <f t="shared" si="4"/>
        <v>1.1730755131341262</v>
      </c>
      <c r="S49" s="241">
        <f t="shared" si="4"/>
        <v>1.2691449648011015</v>
      </c>
      <c r="T49" s="241">
        <f t="shared" si="4"/>
        <v>1.3694615489251918</v>
      </c>
      <c r="U49" s="241">
        <f t="shared" si="4"/>
        <v>1.4742130268997977</v>
      </c>
      <c r="V49" s="241">
        <f t="shared" si="4"/>
        <v>1.5835954608579867</v>
      </c>
      <c r="W49" s="241">
        <f t="shared" si="4"/>
        <v>1.6978135806397239</v>
      </c>
      <c r="X49" s="241">
        <f t="shared" si="4"/>
        <v>1.8170811669823532</v>
      </c>
      <c r="Y49" s="241">
        <f t="shared" si="4"/>
        <v>1.9416214516515375</v>
      </c>
      <c r="Z49" s="241">
        <f t="shared" si="4"/>
        <v>2.0716675352615797</v>
      </c>
      <c r="AA49" s="241">
        <f t="shared" si="4"/>
        <v>2.2074628235671527</v>
      </c>
      <c r="AB49" s="241">
        <f t="shared" si="4"/>
        <v>2.3492614830430445</v>
      </c>
      <c r="AC49" s="241">
        <f t="shared" si="4"/>
        <v>2.4973289166046162</v>
      </c>
      <c r="AD49" s="241">
        <f t="shared" si="4"/>
        <v>2.6519422603593781</v>
      </c>
      <c r="AE49" s="241">
        <f t="shared" si="4"/>
        <v>2.813390902319445</v>
      </c>
      <c r="AF49" s="241">
        <f t="shared" si="4"/>
        <v>2.9819770240457402</v>
      </c>
      <c r="AG49" s="241">
        <f t="shared" si="4"/>
        <v>3.1580161662377391</v>
      </c>
    </row>
    <row r="50" spans="1:33" s="136" customFormat="1" ht="16.5" thickBot="1" x14ac:dyDescent="0.25">
      <c r="A50" s="138" t="s">
        <v>428</v>
      </c>
      <c r="B50" s="139">
        <f>IF($B$119="да",($B$121-0.05),0)</f>
        <v>0</v>
      </c>
      <c r="C50" s="139">
        <f>(D101+D102)*(1+C49)</f>
        <v>14152.730417515324</v>
      </c>
      <c r="D50" s="139">
        <f t="shared" ref="D50:AG50" si="5">(E101+E102)*(1+D49)</f>
        <v>5587.4377389121482</v>
      </c>
      <c r="E50" s="139">
        <f t="shared" si="5"/>
        <v>6137.108112259175</v>
      </c>
      <c r="F50" s="139">
        <f t="shared" si="5"/>
        <v>6667.932586766804</v>
      </c>
      <c r="G50" s="139">
        <f t="shared" si="5"/>
        <v>7241.2329499794887</v>
      </c>
      <c r="H50" s="139">
        <f t="shared" si="5"/>
        <v>7561.360471868521</v>
      </c>
      <c r="I50" s="139">
        <f t="shared" si="5"/>
        <v>7895.6405049360674</v>
      </c>
      <c r="J50" s="139">
        <f t="shared" si="5"/>
        <v>8244.6987172642603</v>
      </c>
      <c r="K50" s="139">
        <f t="shared" si="5"/>
        <v>8609.1884370828939</v>
      </c>
      <c r="L50" s="139">
        <f t="shared" si="5"/>
        <v>8989.7918755963401</v>
      </c>
      <c r="M50" s="139">
        <f t="shared" si="5"/>
        <v>9387.2214038703842</v>
      </c>
      <c r="N50" s="139">
        <f t="shared" si="5"/>
        <v>9387.2214038703842</v>
      </c>
      <c r="O50" s="139">
        <f t="shared" si="5"/>
        <v>9802.220886168936</v>
      </c>
      <c r="P50" s="139">
        <f t="shared" si="5"/>
        <v>10235.567072236194</v>
      </c>
      <c r="Q50" s="139">
        <f t="shared" si="5"/>
        <v>10688.071051130177</v>
      </c>
      <c r="R50" s="139">
        <f t="shared" si="5"/>
        <v>11160.579769328768</v>
      </c>
      <c r="S50" s="139">
        <f t="shared" si="5"/>
        <v>11653.977615949652</v>
      </c>
      <c r="T50" s="139">
        <f t="shared" si="5"/>
        <v>12169.188078051246</v>
      </c>
      <c r="U50" s="139">
        <f t="shared" si="5"/>
        <v>12707.175469112752</v>
      </c>
      <c r="V50" s="139">
        <f t="shared" si="5"/>
        <v>13268.9467339286</v>
      </c>
      <c r="W50" s="139">
        <f t="shared" si="5"/>
        <v>13855.553333295376</v>
      </c>
      <c r="X50" s="139">
        <f t="shared" si="5"/>
        <v>14468.093212018894</v>
      </c>
      <c r="Y50" s="139">
        <f t="shared" si="5"/>
        <v>15107.712853924801</v>
      </c>
      <c r="Z50" s="139">
        <f t="shared" si="5"/>
        <v>15775.609427719146</v>
      </c>
      <c r="AA50" s="139">
        <f t="shared" si="5"/>
        <v>16473.033027715232</v>
      </c>
      <c r="AB50" s="139">
        <f t="shared" si="5"/>
        <v>17201.289013620724</v>
      </c>
      <c r="AC50" s="139">
        <f t="shared" si="5"/>
        <v>17961.740453764356</v>
      </c>
      <c r="AD50" s="139">
        <f t="shared" si="5"/>
        <v>18755.810676335204</v>
      </c>
      <c r="AE50" s="139">
        <f t="shared" si="5"/>
        <v>19584.985933409629</v>
      </c>
      <c r="AF50" s="139">
        <f t="shared" si="5"/>
        <v>20450.818182752155</v>
      </c>
      <c r="AG50" s="139">
        <f t="shared" si="5"/>
        <v>0</v>
      </c>
    </row>
    <row r="51" spans="1:33" ht="16.5" thickBot="1" x14ac:dyDescent="0.25"/>
    <row r="52" spans="1:33" x14ac:dyDescent="0.2">
      <c r="A52" s="140" t="s">
        <v>258</v>
      </c>
      <c r="B52" s="141">
        <f>B58</f>
        <v>1</v>
      </c>
      <c r="C52" s="141">
        <f t="shared" ref="C52:AG52" si="6">C58</f>
        <v>2</v>
      </c>
      <c r="D52" s="141">
        <f t="shared" si="6"/>
        <v>3</v>
      </c>
      <c r="E52" s="141">
        <f t="shared" si="6"/>
        <v>4</v>
      </c>
      <c r="F52" s="141">
        <f t="shared" si="6"/>
        <v>5</v>
      </c>
      <c r="G52" s="141">
        <f t="shared" si="6"/>
        <v>6</v>
      </c>
      <c r="H52" s="141">
        <f t="shared" si="6"/>
        <v>7</v>
      </c>
      <c r="I52" s="141">
        <f t="shared" si="6"/>
        <v>8</v>
      </c>
      <c r="J52" s="141">
        <f t="shared" si="6"/>
        <v>9</v>
      </c>
      <c r="K52" s="141">
        <f t="shared" si="6"/>
        <v>10</v>
      </c>
      <c r="L52" s="141">
        <f t="shared" si="6"/>
        <v>11</v>
      </c>
      <c r="M52" s="141">
        <f t="shared" si="6"/>
        <v>12</v>
      </c>
      <c r="N52" s="141">
        <f t="shared" si="6"/>
        <v>13</v>
      </c>
      <c r="O52" s="141">
        <f t="shared" si="6"/>
        <v>14</v>
      </c>
      <c r="P52" s="141">
        <f t="shared" si="6"/>
        <v>15</v>
      </c>
      <c r="Q52" s="141">
        <f t="shared" si="6"/>
        <v>16</v>
      </c>
      <c r="R52" s="141">
        <f t="shared" si="6"/>
        <v>17</v>
      </c>
      <c r="S52" s="141">
        <f t="shared" si="6"/>
        <v>18</v>
      </c>
      <c r="T52" s="141">
        <f t="shared" si="6"/>
        <v>19</v>
      </c>
      <c r="U52" s="141">
        <f t="shared" si="6"/>
        <v>20</v>
      </c>
      <c r="V52" s="141">
        <f t="shared" si="6"/>
        <v>21</v>
      </c>
      <c r="W52" s="141">
        <f t="shared" si="6"/>
        <v>22</v>
      </c>
      <c r="X52" s="141">
        <f t="shared" si="6"/>
        <v>23</v>
      </c>
      <c r="Y52" s="141">
        <f t="shared" si="6"/>
        <v>24</v>
      </c>
      <c r="Z52" s="141">
        <f t="shared" si="6"/>
        <v>25</v>
      </c>
      <c r="AA52" s="141">
        <f t="shared" si="6"/>
        <v>26</v>
      </c>
      <c r="AB52" s="141">
        <f t="shared" si="6"/>
        <v>27</v>
      </c>
      <c r="AC52" s="141">
        <f t="shared" si="6"/>
        <v>28</v>
      </c>
      <c r="AD52" s="141">
        <f t="shared" si="6"/>
        <v>29</v>
      </c>
      <c r="AE52" s="141">
        <f t="shared" si="6"/>
        <v>30</v>
      </c>
      <c r="AF52" s="141">
        <f t="shared" si="6"/>
        <v>31</v>
      </c>
      <c r="AG52" s="141">
        <f t="shared" si="6"/>
        <v>32</v>
      </c>
    </row>
    <row r="53" spans="1:33" x14ac:dyDescent="0.2">
      <c r="A53" s="142" t="s">
        <v>257</v>
      </c>
      <c r="B53" s="242">
        <v>0</v>
      </c>
      <c r="C53" s="242">
        <f t="shared" ref="C53:AG53" si="7">B53+B54-B55</f>
        <v>0</v>
      </c>
      <c r="D53" s="242">
        <f t="shared" si="7"/>
        <v>0</v>
      </c>
      <c r="E53" s="242">
        <f t="shared" si="7"/>
        <v>0</v>
      </c>
      <c r="F53" s="242">
        <f t="shared" si="7"/>
        <v>0</v>
      </c>
      <c r="G53" s="242">
        <f t="shared" si="7"/>
        <v>0</v>
      </c>
      <c r="H53" s="242">
        <f t="shared" si="7"/>
        <v>0</v>
      </c>
      <c r="I53" s="242">
        <f t="shared" si="7"/>
        <v>0</v>
      </c>
      <c r="J53" s="242">
        <f t="shared" si="7"/>
        <v>0</v>
      </c>
      <c r="K53" s="242">
        <f t="shared" si="7"/>
        <v>0</v>
      </c>
      <c r="L53" s="242">
        <f t="shared" si="7"/>
        <v>0</v>
      </c>
      <c r="M53" s="242">
        <f t="shared" si="7"/>
        <v>0</v>
      </c>
      <c r="N53" s="242">
        <f t="shared" si="7"/>
        <v>0</v>
      </c>
      <c r="O53" s="242">
        <f t="shared" si="7"/>
        <v>0</v>
      </c>
      <c r="P53" s="242">
        <f t="shared" si="7"/>
        <v>0</v>
      </c>
      <c r="Q53" s="242">
        <f t="shared" si="7"/>
        <v>0</v>
      </c>
      <c r="R53" s="242">
        <f t="shared" si="7"/>
        <v>0</v>
      </c>
      <c r="S53" s="242">
        <f t="shared" si="7"/>
        <v>0</v>
      </c>
      <c r="T53" s="242">
        <f t="shared" si="7"/>
        <v>0</v>
      </c>
      <c r="U53" s="242">
        <f t="shared" si="7"/>
        <v>0</v>
      </c>
      <c r="V53" s="242">
        <f t="shared" si="7"/>
        <v>0</v>
      </c>
      <c r="W53" s="242">
        <f t="shared" si="7"/>
        <v>0</v>
      </c>
      <c r="X53" s="242">
        <f t="shared" si="7"/>
        <v>0</v>
      </c>
      <c r="Y53" s="242">
        <f t="shared" si="7"/>
        <v>0</v>
      </c>
      <c r="Z53" s="242">
        <f t="shared" si="7"/>
        <v>0</v>
      </c>
      <c r="AA53" s="242">
        <f t="shared" si="7"/>
        <v>0</v>
      </c>
      <c r="AB53" s="242">
        <f t="shared" si="7"/>
        <v>0</v>
      </c>
      <c r="AC53" s="242">
        <f t="shared" si="7"/>
        <v>0</v>
      </c>
      <c r="AD53" s="242">
        <f t="shared" si="7"/>
        <v>0</v>
      </c>
      <c r="AE53" s="242">
        <f t="shared" si="7"/>
        <v>0</v>
      </c>
      <c r="AF53" s="242">
        <f t="shared" si="7"/>
        <v>0</v>
      </c>
      <c r="AG53" s="242">
        <f t="shared" si="7"/>
        <v>0</v>
      </c>
    </row>
    <row r="54" spans="1:33" x14ac:dyDescent="0.2">
      <c r="A54" s="142" t="s">
        <v>256</v>
      </c>
      <c r="B54" s="242">
        <f>B25*B28*B43*1.18</f>
        <v>0</v>
      </c>
      <c r="C54" s="242">
        <v>0</v>
      </c>
      <c r="D54" s="242">
        <v>0</v>
      </c>
      <c r="E54" s="242">
        <v>0</v>
      </c>
      <c r="F54" s="242">
        <v>0</v>
      </c>
      <c r="G54" s="242">
        <v>0</v>
      </c>
      <c r="H54" s="242">
        <v>0</v>
      </c>
      <c r="I54" s="242">
        <v>0</v>
      </c>
      <c r="J54" s="242">
        <v>0</v>
      </c>
      <c r="K54" s="242">
        <v>0</v>
      </c>
      <c r="L54" s="242">
        <v>0</v>
      </c>
      <c r="M54" s="242">
        <v>0</v>
      </c>
      <c r="N54" s="242">
        <v>0</v>
      </c>
      <c r="O54" s="242">
        <v>0</v>
      </c>
      <c r="P54" s="242">
        <v>0</v>
      </c>
      <c r="Q54" s="242">
        <v>0</v>
      </c>
      <c r="R54" s="242">
        <v>0</v>
      </c>
      <c r="S54" s="242">
        <v>0</v>
      </c>
      <c r="T54" s="242">
        <v>0</v>
      </c>
      <c r="U54" s="242">
        <v>0</v>
      </c>
      <c r="V54" s="242">
        <v>0</v>
      </c>
      <c r="W54" s="242">
        <v>0</v>
      </c>
      <c r="X54" s="242">
        <v>0</v>
      </c>
      <c r="Y54" s="242">
        <v>0</v>
      </c>
      <c r="Z54" s="242">
        <v>0</v>
      </c>
      <c r="AA54" s="242">
        <v>0</v>
      </c>
      <c r="AB54" s="242">
        <v>0</v>
      </c>
      <c r="AC54" s="242">
        <v>0</v>
      </c>
      <c r="AD54" s="242">
        <v>0</v>
      </c>
      <c r="AE54" s="242">
        <v>0</v>
      </c>
      <c r="AF54" s="242">
        <v>0</v>
      </c>
      <c r="AG54" s="242">
        <v>0</v>
      </c>
    </row>
    <row r="55" spans="1:33" x14ac:dyDescent="0.2">
      <c r="A55" s="142" t="s">
        <v>255</v>
      </c>
      <c r="B55" s="242">
        <f>$B$54/$B$40</f>
        <v>0</v>
      </c>
      <c r="C55" s="242">
        <f t="shared" ref="C55:AG55" si="8">IF(ROUND(C53,1)=0,0,B55+C54/$B$40)</f>
        <v>0</v>
      </c>
      <c r="D55" s="242">
        <f t="shared" si="8"/>
        <v>0</v>
      </c>
      <c r="E55" s="242">
        <f t="shared" si="8"/>
        <v>0</v>
      </c>
      <c r="F55" s="242">
        <f t="shared" si="8"/>
        <v>0</v>
      </c>
      <c r="G55" s="242">
        <f t="shared" si="8"/>
        <v>0</v>
      </c>
      <c r="H55" s="242">
        <f t="shared" si="8"/>
        <v>0</v>
      </c>
      <c r="I55" s="242">
        <f t="shared" si="8"/>
        <v>0</v>
      </c>
      <c r="J55" s="242">
        <f t="shared" si="8"/>
        <v>0</v>
      </c>
      <c r="K55" s="242">
        <f t="shared" si="8"/>
        <v>0</v>
      </c>
      <c r="L55" s="242">
        <f t="shared" si="8"/>
        <v>0</v>
      </c>
      <c r="M55" s="242">
        <f t="shared" si="8"/>
        <v>0</v>
      </c>
      <c r="N55" s="242">
        <f t="shared" si="8"/>
        <v>0</v>
      </c>
      <c r="O55" s="242">
        <f t="shared" si="8"/>
        <v>0</v>
      </c>
      <c r="P55" s="242">
        <f t="shared" si="8"/>
        <v>0</v>
      </c>
      <c r="Q55" s="242">
        <f t="shared" si="8"/>
        <v>0</v>
      </c>
      <c r="R55" s="242">
        <f t="shared" si="8"/>
        <v>0</v>
      </c>
      <c r="S55" s="242">
        <f t="shared" si="8"/>
        <v>0</v>
      </c>
      <c r="T55" s="242">
        <f t="shared" si="8"/>
        <v>0</v>
      </c>
      <c r="U55" s="242">
        <f t="shared" si="8"/>
        <v>0</v>
      </c>
      <c r="V55" s="242">
        <f t="shared" si="8"/>
        <v>0</v>
      </c>
      <c r="W55" s="242">
        <f t="shared" si="8"/>
        <v>0</v>
      </c>
      <c r="X55" s="242">
        <f t="shared" si="8"/>
        <v>0</v>
      </c>
      <c r="Y55" s="242">
        <f t="shared" si="8"/>
        <v>0</v>
      </c>
      <c r="Z55" s="242">
        <f t="shared" si="8"/>
        <v>0</v>
      </c>
      <c r="AA55" s="242">
        <f t="shared" si="8"/>
        <v>0</v>
      </c>
      <c r="AB55" s="242">
        <f t="shared" si="8"/>
        <v>0</v>
      </c>
      <c r="AC55" s="242">
        <f t="shared" si="8"/>
        <v>0</v>
      </c>
      <c r="AD55" s="242">
        <f t="shared" si="8"/>
        <v>0</v>
      </c>
      <c r="AE55" s="242">
        <f t="shared" si="8"/>
        <v>0</v>
      </c>
      <c r="AF55" s="242">
        <f t="shared" si="8"/>
        <v>0</v>
      </c>
      <c r="AG55" s="242">
        <f t="shared" si="8"/>
        <v>0</v>
      </c>
    </row>
    <row r="56" spans="1:33" ht="16.5" thickBot="1" x14ac:dyDescent="0.25">
      <c r="A56" s="143" t="s">
        <v>254</v>
      </c>
      <c r="B56" s="144">
        <f t="shared" ref="B56:AG56" si="9">AVERAGE(SUM(B53:B54),(SUM(B53:B54)-B55))*$B$42</f>
        <v>0</v>
      </c>
      <c r="C56" s="144">
        <f t="shared" si="9"/>
        <v>0</v>
      </c>
      <c r="D56" s="144">
        <f t="shared" si="9"/>
        <v>0</v>
      </c>
      <c r="E56" s="144">
        <f t="shared" si="9"/>
        <v>0</v>
      </c>
      <c r="F56" s="144">
        <f t="shared" si="9"/>
        <v>0</v>
      </c>
      <c r="G56" s="144">
        <f t="shared" si="9"/>
        <v>0</v>
      </c>
      <c r="H56" s="144">
        <f t="shared" si="9"/>
        <v>0</v>
      </c>
      <c r="I56" s="144">
        <f t="shared" si="9"/>
        <v>0</v>
      </c>
      <c r="J56" s="144">
        <f t="shared" si="9"/>
        <v>0</v>
      </c>
      <c r="K56" s="144">
        <f t="shared" si="9"/>
        <v>0</v>
      </c>
      <c r="L56" s="144">
        <f t="shared" si="9"/>
        <v>0</v>
      </c>
      <c r="M56" s="144">
        <f t="shared" si="9"/>
        <v>0</v>
      </c>
      <c r="N56" s="144">
        <f t="shared" si="9"/>
        <v>0</v>
      </c>
      <c r="O56" s="144">
        <f t="shared" si="9"/>
        <v>0</v>
      </c>
      <c r="P56" s="144">
        <f t="shared" si="9"/>
        <v>0</v>
      </c>
      <c r="Q56" s="144">
        <f t="shared" si="9"/>
        <v>0</v>
      </c>
      <c r="R56" s="144">
        <f t="shared" si="9"/>
        <v>0</v>
      </c>
      <c r="S56" s="144">
        <f t="shared" si="9"/>
        <v>0</v>
      </c>
      <c r="T56" s="144">
        <f t="shared" si="9"/>
        <v>0</v>
      </c>
      <c r="U56" s="144">
        <f t="shared" si="9"/>
        <v>0</v>
      </c>
      <c r="V56" s="144">
        <f t="shared" si="9"/>
        <v>0</v>
      </c>
      <c r="W56" s="144">
        <f t="shared" si="9"/>
        <v>0</v>
      </c>
      <c r="X56" s="144">
        <f t="shared" si="9"/>
        <v>0</v>
      </c>
      <c r="Y56" s="144">
        <f t="shared" si="9"/>
        <v>0</v>
      </c>
      <c r="Z56" s="144">
        <f t="shared" si="9"/>
        <v>0</v>
      </c>
      <c r="AA56" s="144">
        <f t="shared" si="9"/>
        <v>0</v>
      </c>
      <c r="AB56" s="144">
        <f t="shared" si="9"/>
        <v>0</v>
      </c>
      <c r="AC56" s="144">
        <f t="shared" si="9"/>
        <v>0</v>
      </c>
      <c r="AD56" s="144">
        <f t="shared" si="9"/>
        <v>0</v>
      </c>
      <c r="AE56" s="144">
        <f t="shared" si="9"/>
        <v>0</v>
      </c>
      <c r="AF56" s="144">
        <f t="shared" si="9"/>
        <v>0</v>
      </c>
      <c r="AG56" s="144">
        <f t="shared" si="9"/>
        <v>0</v>
      </c>
    </row>
    <row r="57" spans="1:33" s="147" customFormat="1" ht="16.5" thickBot="1" x14ac:dyDescent="0.25">
      <c r="A57" s="145"/>
      <c r="B57" s="146"/>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46"/>
      <c r="AB57" s="146"/>
      <c r="AC57" s="146"/>
      <c r="AD57" s="146"/>
      <c r="AE57" s="146"/>
      <c r="AF57" s="146"/>
      <c r="AG57" s="146"/>
    </row>
    <row r="58" spans="1:33" x14ac:dyDescent="0.2">
      <c r="A58" s="140" t="s">
        <v>429</v>
      </c>
      <c r="B58" s="141">
        <v>1</v>
      </c>
      <c r="C58" s="141">
        <f>B58+1</f>
        <v>2</v>
      </c>
      <c r="D58" s="141">
        <f t="shared" ref="D58:AG58" si="10">C58+1</f>
        <v>3</v>
      </c>
      <c r="E58" s="141">
        <f t="shared" si="10"/>
        <v>4</v>
      </c>
      <c r="F58" s="141">
        <f t="shared" si="10"/>
        <v>5</v>
      </c>
      <c r="G58" s="141">
        <f t="shared" si="10"/>
        <v>6</v>
      </c>
      <c r="H58" s="141">
        <f t="shared" si="10"/>
        <v>7</v>
      </c>
      <c r="I58" s="141">
        <f t="shared" si="10"/>
        <v>8</v>
      </c>
      <c r="J58" s="141">
        <f t="shared" si="10"/>
        <v>9</v>
      </c>
      <c r="K58" s="141">
        <f t="shared" si="10"/>
        <v>10</v>
      </c>
      <c r="L58" s="141">
        <f t="shared" si="10"/>
        <v>11</v>
      </c>
      <c r="M58" s="141">
        <f t="shared" si="10"/>
        <v>12</v>
      </c>
      <c r="N58" s="141">
        <f t="shared" si="10"/>
        <v>13</v>
      </c>
      <c r="O58" s="141">
        <f t="shared" si="10"/>
        <v>14</v>
      </c>
      <c r="P58" s="141">
        <f t="shared" si="10"/>
        <v>15</v>
      </c>
      <c r="Q58" s="141">
        <f t="shared" si="10"/>
        <v>16</v>
      </c>
      <c r="R58" s="141">
        <f t="shared" si="10"/>
        <v>17</v>
      </c>
      <c r="S58" s="141">
        <f t="shared" si="10"/>
        <v>18</v>
      </c>
      <c r="T58" s="141">
        <f t="shared" si="10"/>
        <v>19</v>
      </c>
      <c r="U58" s="141">
        <f t="shared" si="10"/>
        <v>20</v>
      </c>
      <c r="V58" s="141">
        <f t="shared" si="10"/>
        <v>21</v>
      </c>
      <c r="W58" s="141">
        <f t="shared" si="10"/>
        <v>22</v>
      </c>
      <c r="X58" s="141">
        <f t="shared" si="10"/>
        <v>23</v>
      </c>
      <c r="Y58" s="141">
        <f t="shared" si="10"/>
        <v>24</v>
      </c>
      <c r="Z58" s="141">
        <f t="shared" si="10"/>
        <v>25</v>
      </c>
      <c r="AA58" s="141">
        <f t="shared" si="10"/>
        <v>26</v>
      </c>
      <c r="AB58" s="141">
        <f t="shared" si="10"/>
        <v>27</v>
      </c>
      <c r="AC58" s="141">
        <f t="shared" si="10"/>
        <v>28</v>
      </c>
      <c r="AD58" s="141">
        <f t="shared" si="10"/>
        <v>29</v>
      </c>
      <c r="AE58" s="141">
        <f t="shared" si="10"/>
        <v>30</v>
      </c>
      <c r="AF58" s="141">
        <f t="shared" si="10"/>
        <v>31</v>
      </c>
      <c r="AG58" s="141">
        <f t="shared" si="10"/>
        <v>32</v>
      </c>
    </row>
    <row r="59" spans="1:33" ht="14.25" x14ac:dyDescent="0.2">
      <c r="A59" s="148" t="s">
        <v>253</v>
      </c>
      <c r="B59" s="243">
        <f t="shared" ref="B59:AG59" si="11">B50*$B$28</f>
        <v>0</v>
      </c>
      <c r="C59" s="243">
        <f t="shared" si="11"/>
        <v>14152.730417515324</v>
      </c>
      <c r="D59" s="243">
        <f t="shared" si="11"/>
        <v>5587.4377389121482</v>
      </c>
      <c r="E59" s="243">
        <f t="shared" si="11"/>
        <v>6137.108112259175</v>
      </c>
      <c r="F59" s="243">
        <f t="shared" si="11"/>
        <v>6667.932586766804</v>
      </c>
      <c r="G59" s="243">
        <f t="shared" si="11"/>
        <v>7241.2329499794887</v>
      </c>
      <c r="H59" s="243">
        <f t="shared" si="11"/>
        <v>7561.360471868521</v>
      </c>
      <c r="I59" s="243">
        <f t="shared" si="11"/>
        <v>7895.6405049360674</v>
      </c>
      <c r="J59" s="243">
        <f t="shared" si="11"/>
        <v>8244.6987172642603</v>
      </c>
      <c r="K59" s="243">
        <f t="shared" si="11"/>
        <v>8609.1884370828939</v>
      </c>
      <c r="L59" s="243">
        <f t="shared" si="11"/>
        <v>8989.7918755963401</v>
      </c>
      <c r="M59" s="243">
        <f t="shared" si="11"/>
        <v>9387.2214038703842</v>
      </c>
      <c r="N59" s="243">
        <f t="shared" si="11"/>
        <v>9387.2214038703842</v>
      </c>
      <c r="O59" s="243">
        <f t="shared" si="11"/>
        <v>9802.220886168936</v>
      </c>
      <c r="P59" s="243">
        <f t="shared" si="11"/>
        <v>10235.567072236194</v>
      </c>
      <c r="Q59" s="243">
        <f t="shared" si="11"/>
        <v>10688.071051130177</v>
      </c>
      <c r="R59" s="243">
        <f t="shared" si="11"/>
        <v>11160.579769328768</v>
      </c>
      <c r="S59" s="243">
        <f t="shared" si="11"/>
        <v>11653.977615949652</v>
      </c>
      <c r="T59" s="243">
        <f t="shared" si="11"/>
        <v>12169.188078051246</v>
      </c>
      <c r="U59" s="243">
        <f t="shared" si="11"/>
        <v>12707.175469112752</v>
      </c>
      <c r="V59" s="243">
        <f t="shared" si="11"/>
        <v>13268.9467339286</v>
      </c>
      <c r="W59" s="243">
        <f t="shared" si="11"/>
        <v>13855.553333295376</v>
      </c>
      <c r="X59" s="243">
        <f t="shared" si="11"/>
        <v>14468.093212018894</v>
      </c>
      <c r="Y59" s="243">
        <f t="shared" si="11"/>
        <v>15107.712853924801</v>
      </c>
      <c r="Z59" s="243">
        <f t="shared" si="11"/>
        <v>15775.609427719146</v>
      </c>
      <c r="AA59" s="243">
        <f t="shared" si="11"/>
        <v>16473.033027715232</v>
      </c>
      <c r="AB59" s="243">
        <f t="shared" si="11"/>
        <v>17201.289013620724</v>
      </c>
      <c r="AC59" s="243">
        <f t="shared" si="11"/>
        <v>17961.740453764356</v>
      </c>
      <c r="AD59" s="243">
        <f t="shared" si="11"/>
        <v>18755.810676335204</v>
      </c>
      <c r="AE59" s="243">
        <f t="shared" si="11"/>
        <v>19584.985933409629</v>
      </c>
      <c r="AF59" s="243">
        <f t="shared" si="11"/>
        <v>20450.818182752155</v>
      </c>
      <c r="AG59" s="243">
        <f t="shared" si="11"/>
        <v>0</v>
      </c>
    </row>
    <row r="60" spans="1:33" x14ac:dyDescent="0.2">
      <c r="A60" s="142" t="s">
        <v>252</v>
      </c>
      <c r="B60" s="242">
        <f t="shared" ref="B60:Z60" si="12">SUM(B61:B65)</f>
        <v>0</v>
      </c>
      <c r="C60" s="242">
        <f t="shared" si="12"/>
        <v>0</v>
      </c>
      <c r="D60" s="242">
        <f>SUM(D61:D65)</f>
        <v>0</v>
      </c>
      <c r="E60" s="242">
        <f t="shared" si="12"/>
        <v>0</v>
      </c>
      <c r="F60" s="242">
        <f t="shared" si="12"/>
        <v>0</v>
      </c>
      <c r="G60" s="242">
        <f t="shared" si="12"/>
        <v>0</v>
      </c>
      <c r="H60" s="242">
        <f t="shared" si="12"/>
        <v>-255089.33292225905</v>
      </c>
      <c r="I60" s="242">
        <f t="shared" si="12"/>
        <v>0</v>
      </c>
      <c r="J60" s="242">
        <f t="shared" si="12"/>
        <v>0</v>
      </c>
      <c r="K60" s="242">
        <f t="shared" si="12"/>
        <v>0</v>
      </c>
      <c r="L60" s="242">
        <f t="shared" si="12"/>
        <v>0</v>
      </c>
      <c r="M60" s="242">
        <f t="shared" si="12"/>
        <v>0</v>
      </c>
      <c r="N60" s="242">
        <f t="shared" si="12"/>
        <v>-316686.4025086101</v>
      </c>
      <c r="O60" s="242">
        <f t="shared" si="12"/>
        <v>0</v>
      </c>
      <c r="P60" s="242">
        <f t="shared" si="12"/>
        <v>0</v>
      </c>
      <c r="Q60" s="242">
        <f t="shared" si="12"/>
        <v>0</v>
      </c>
      <c r="R60" s="242">
        <f t="shared" si="12"/>
        <v>0</v>
      </c>
      <c r="S60" s="242">
        <f t="shared" si="12"/>
        <v>0</v>
      </c>
      <c r="T60" s="242">
        <f t="shared" si="12"/>
        <v>-410538.56387149601</v>
      </c>
      <c r="U60" s="242">
        <f t="shared" si="12"/>
        <v>0</v>
      </c>
      <c r="V60" s="242">
        <f t="shared" si="12"/>
        <v>0</v>
      </c>
      <c r="W60" s="242">
        <f t="shared" si="12"/>
        <v>0</v>
      </c>
      <c r="X60" s="242">
        <f t="shared" si="12"/>
        <v>0</v>
      </c>
      <c r="Y60" s="242">
        <f t="shared" si="12"/>
        <v>0</v>
      </c>
      <c r="Z60" s="242">
        <f t="shared" si="12"/>
        <v>-532204.44922982797</v>
      </c>
      <c r="AA60" s="242">
        <f t="shared" ref="AA60:AG60" si="13">SUM(AA61:AA65)</f>
        <v>0</v>
      </c>
      <c r="AB60" s="242">
        <f t="shared" si="13"/>
        <v>0</v>
      </c>
      <c r="AC60" s="242">
        <f t="shared" si="13"/>
        <v>0</v>
      </c>
      <c r="AD60" s="242">
        <f t="shared" si="13"/>
        <v>0</v>
      </c>
      <c r="AE60" s="242">
        <f t="shared" si="13"/>
        <v>0</v>
      </c>
      <c r="AF60" s="242">
        <f t="shared" si="13"/>
        <v>-689926.84416532132</v>
      </c>
      <c r="AG60" s="242">
        <f t="shared" si="13"/>
        <v>-720427.8061469394</v>
      </c>
    </row>
    <row r="61" spans="1:33" x14ac:dyDescent="0.2">
      <c r="A61" s="149" t="s">
        <v>251</v>
      </c>
      <c r="B61" s="242"/>
      <c r="C61" s="242"/>
      <c r="D61" s="242">
        <f>-IF(D$47&lt;=$B$30,0,$B$29*(1+D$49)*$B$28)</f>
        <v>0</v>
      </c>
      <c r="E61" s="242">
        <f t="shared" ref="E61:AG61" si="14">-IF(E$47&lt;=$B$30,0,$B$29*(1+E$49)*$B$28)</f>
        <v>0</v>
      </c>
      <c r="F61" s="242">
        <f t="shared" si="14"/>
        <v>0</v>
      </c>
      <c r="G61" s="242">
        <f t="shared" si="14"/>
        <v>0</v>
      </c>
      <c r="H61" s="242">
        <f t="shared" si="14"/>
        <v>-255089.33292225905</v>
      </c>
      <c r="I61" s="242"/>
      <c r="J61" s="242"/>
      <c r="K61" s="242"/>
      <c r="L61" s="242"/>
      <c r="M61" s="242"/>
      <c r="N61" s="242">
        <f t="shared" si="14"/>
        <v>-316686.4025086101</v>
      </c>
      <c r="O61" s="242"/>
      <c r="P61" s="242"/>
      <c r="Q61" s="242"/>
      <c r="R61" s="242"/>
      <c r="S61" s="242"/>
      <c r="T61" s="242">
        <f t="shared" si="14"/>
        <v>-410538.56387149601</v>
      </c>
      <c r="U61" s="242"/>
      <c r="V61" s="242"/>
      <c r="W61" s="242"/>
      <c r="X61" s="242"/>
      <c r="Y61" s="242"/>
      <c r="Z61" s="242">
        <f t="shared" si="14"/>
        <v>-532204.44922982797</v>
      </c>
      <c r="AA61" s="242"/>
      <c r="AB61" s="242"/>
      <c r="AC61" s="242"/>
      <c r="AD61" s="242"/>
      <c r="AE61" s="242"/>
      <c r="AF61" s="242">
        <f t="shared" si="14"/>
        <v>-689926.84416532132</v>
      </c>
      <c r="AG61" s="242">
        <f t="shared" si="14"/>
        <v>-720427.8061469394</v>
      </c>
    </row>
    <row r="62" spans="1:33" x14ac:dyDescent="0.2">
      <c r="A62" s="149" t="str">
        <f>A32</f>
        <v>Прочие расходы при эксплуатации объекта, руб. без НДС</v>
      </c>
      <c r="B62" s="242"/>
      <c r="C62" s="242"/>
      <c r="D62" s="242"/>
      <c r="E62" s="242"/>
      <c r="F62" s="242"/>
      <c r="G62" s="242"/>
      <c r="H62" s="242"/>
      <c r="I62" s="242"/>
      <c r="J62" s="242"/>
      <c r="K62" s="242"/>
      <c r="L62" s="242"/>
      <c r="M62" s="242"/>
      <c r="N62" s="242"/>
      <c r="O62" s="242"/>
      <c r="P62" s="242"/>
      <c r="Q62" s="242"/>
      <c r="R62" s="242"/>
      <c r="S62" s="242"/>
      <c r="T62" s="242"/>
      <c r="U62" s="242"/>
      <c r="V62" s="242"/>
      <c r="W62" s="242"/>
      <c r="X62" s="242"/>
      <c r="Y62" s="242"/>
      <c r="Z62" s="242"/>
      <c r="AA62" s="242"/>
      <c r="AB62" s="242"/>
      <c r="AC62" s="242"/>
      <c r="AD62" s="242"/>
      <c r="AE62" s="242"/>
      <c r="AF62" s="242"/>
      <c r="AG62" s="242"/>
    </row>
    <row r="63" spans="1:33" x14ac:dyDescent="0.2">
      <c r="A63" s="149" t="s">
        <v>426</v>
      </c>
      <c r="B63" s="242"/>
      <c r="C63" s="242"/>
      <c r="D63" s="242"/>
      <c r="E63" s="242"/>
      <c r="F63" s="242"/>
      <c r="G63" s="242"/>
      <c r="H63" s="242"/>
      <c r="I63" s="242"/>
      <c r="J63" s="242"/>
      <c r="K63" s="242"/>
      <c r="L63" s="242"/>
      <c r="M63" s="242"/>
      <c r="N63" s="242"/>
      <c r="O63" s="242"/>
      <c r="P63" s="242"/>
      <c r="Q63" s="242"/>
      <c r="R63" s="242"/>
      <c r="S63" s="242"/>
      <c r="T63" s="242"/>
      <c r="U63" s="242"/>
      <c r="V63" s="242"/>
      <c r="W63" s="242"/>
      <c r="X63" s="242"/>
      <c r="Y63" s="242"/>
      <c r="Z63" s="242"/>
      <c r="AA63" s="242"/>
      <c r="AB63" s="242"/>
      <c r="AC63" s="242"/>
      <c r="AD63" s="242"/>
      <c r="AE63" s="242"/>
      <c r="AF63" s="242"/>
      <c r="AG63" s="242"/>
    </row>
    <row r="64" spans="1:33" x14ac:dyDescent="0.2">
      <c r="A64" s="149" t="s">
        <v>426</v>
      </c>
      <c r="B64" s="242"/>
      <c r="C64" s="242"/>
      <c r="D64" s="242"/>
      <c r="E64" s="242"/>
      <c r="F64" s="242"/>
      <c r="G64" s="242"/>
      <c r="H64" s="242"/>
      <c r="I64" s="242"/>
      <c r="J64" s="242"/>
      <c r="K64" s="242"/>
      <c r="L64" s="242"/>
      <c r="M64" s="242"/>
      <c r="N64" s="242"/>
      <c r="O64" s="242"/>
      <c r="P64" s="242"/>
      <c r="Q64" s="242"/>
      <c r="R64" s="242"/>
      <c r="S64" s="242"/>
      <c r="T64" s="242"/>
      <c r="U64" s="242"/>
      <c r="V64" s="242"/>
      <c r="W64" s="242"/>
      <c r="X64" s="242"/>
      <c r="Y64" s="242"/>
      <c r="Z64" s="242"/>
      <c r="AA64" s="242"/>
      <c r="AB64" s="242"/>
      <c r="AC64" s="242"/>
      <c r="AD64" s="242"/>
      <c r="AE64" s="242"/>
      <c r="AF64" s="242"/>
      <c r="AG64" s="242"/>
    </row>
    <row r="65" spans="1:33" ht="31.5" x14ac:dyDescent="0.2">
      <c r="A65" s="149" t="s">
        <v>430</v>
      </c>
      <c r="B65" s="242"/>
      <c r="C65" s="242"/>
      <c r="D65" s="242"/>
      <c r="E65" s="242"/>
      <c r="F65" s="242"/>
      <c r="G65" s="242"/>
      <c r="H65" s="242"/>
      <c r="I65" s="242"/>
      <c r="J65" s="242"/>
      <c r="K65" s="242"/>
      <c r="L65" s="242"/>
      <c r="M65" s="242"/>
      <c r="N65" s="242"/>
      <c r="O65" s="242"/>
      <c r="P65" s="242"/>
      <c r="Q65" s="242"/>
      <c r="R65" s="242"/>
      <c r="S65" s="242"/>
      <c r="T65" s="242"/>
      <c r="U65" s="242"/>
      <c r="V65" s="242"/>
      <c r="W65" s="242"/>
      <c r="X65" s="242"/>
      <c r="Y65" s="242"/>
      <c r="Z65" s="242"/>
      <c r="AA65" s="242"/>
      <c r="AB65" s="242"/>
      <c r="AC65" s="242"/>
      <c r="AD65" s="242"/>
      <c r="AE65" s="242"/>
      <c r="AF65" s="242"/>
      <c r="AG65" s="242"/>
    </row>
    <row r="66" spans="1:33" ht="28.5" x14ac:dyDescent="0.2">
      <c r="A66" s="150" t="s">
        <v>249</v>
      </c>
      <c r="B66" s="243">
        <f t="shared" ref="B66:AG66" si="15">B59+B60</f>
        <v>0</v>
      </c>
      <c r="C66" s="243">
        <f t="shared" si="15"/>
        <v>14152.730417515324</v>
      </c>
      <c r="D66" s="243">
        <f t="shared" si="15"/>
        <v>5587.4377389121482</v>
      </c>
      <c r="E66" s="243">
        <f t="shared" si="15"/>
        <v>6137.108112259175</v>
      </c>
      <c r="F66" s="243">
        <f t="shared" si="15"/>
        <v>6667.932586766804</v>
      </c>
      <c r="G66" s="243">
        <f t="shared" si="15"/>
        <v>7241.2329499794887</v>
      </c>
      <c r="H66" s="243">
        <f t="shared" si="15"/>
        <v>-247527.97245039055</v>
      </c>
      <c r="I66" s="243">
        <f t="shared" si="15"/>
        <v>7895.6405049360674</v>
      </c>
      <c r="J66" s="243">
        <f t="shared" si="15"/>
        <v>8244.6987172642603</v>
      </c>
      <c r="K66" s="243">
        <f t="shared" si="15"/>
        <v>8609.1884370828939</v>
      </c>
      <c r="L66" s="243">
        <f t="shared" si="15"/>
        <v>8989.7918755963401</v>
      </c>
      <c r="M66" s="243">
        <f t="shared" si="15"/>
        <v>9387.2214038703842</v>
      </c>
      <c r="N66" s="243">
        <f t="shared" si="15"/>
        <v>-307299.18110473972</v>
      </c>
      <c r="O66" s="243">
        <f t="shared" si="15"/>
        <v>9802.220886168936</v>
      </c>
      <c r="P66" s="243">
        <f t="shared" si="15"/>
        <v>10235.567072236194</v>
      </c>
      <c r="Q66" s="243">
        <f t="shared" si="15"/>
        <v>10688.071051130177</v>
      </c>
      <c r="R66" s="243">
        <f t="shared" si="15"/>
        <v>11160.579769328768</v>
      </c>
      <c r="S66" s="243">
        <f t="shared" si="15"/>
        <v>11653.977615949652</v>
      </c>
      <c r="T66" s="243">
        <f t="shared" si="15"/>
        <v>-398369.37579344475</v>
      </c>
      <c r="U66" s="243">
        <f t="shared" si="15"/>
        <v>12707.175469112752</v>
      </c>
      <c r="V66" s="243">
        <f t="shared" si="15"/>
        <v>13268.9467339286</v>
      </c>
      <c r="W66" s="243">
        <f t="shared" si="15"/>
        <v>13855.553333295376</v>
      </c>
      <c r="X66" s="243">
        <f t="shared" si="15"/>
        <v>14468.093212018894</v>
      </c>
      <c r="Y66" s="243">
        <f t="shared" si="15"/>
        <v>15107.712853924801</v>
      </c>
      <c r="Z66" s="243">
        <f t="shared" si="15"/>
        <v>-516428.83980210882</v>
      </c>
      <c r="AA66" s="243">
        <f t="shared" si="15"/>
        <v>16473.033027715232</v>
      </c>
      <c r="AB66" s="243">
        <f t="shared" si="15"/>
        <v>17201.289013620724</v>
      </c>
      <c r="AC66" s="243">
        <f t="shared" si="15"/>
        <v>17961.740453764356</v>
      </c>
      <c r="AD66" s="243">
        <f t="shared" si="15"/>
        <v>18755.810676335204</v>
      </c>
      <c r="AE66" s="243">
        <f t="shared" si="15"/>
        <v>19584.985933409629</v>
      </c>
      <c r="AF66" s="243">
        <f t="shared" si="15"/>
        <v>-669476.0259825692</v>
      </c>
      <c r="AG66" s="243">
        <f t="shared" si="15"/>
        <v>-720427.8061469394</v>
      </c>
    </row>
    <row r="67" spans="1:33" x14ac:dyDescent="0.2">
      <c r="A67" s="149" t="s">
        <v>244</v>
      </c>
      <c r="B67" s="151"/>
      <c r="C67" s="242">
        <f>-($B$25)*$B$28/$B$27</f>
        <v>-577541.28999999992</v>
      </c>
      <c r="D67" s="242">
        <f>-($B$25)*$B$28/$B$27</f>
        <v>-577541.28999999992</v>
      </c>
      <c r="E67" s="242">
        <f t="shared" ref="E67:AG67" si="16">D67</f>
        <v>-577541.28999999992</v>
      </c>
      <c r="F67" s="242">
        <f t="shared" si="16"/>
        <v>-577541.28999999992</v>
      </c>
      <c r="G67" s="242">
        <f t="shared" si="16"/>
        <v>-577541.28999999992</v>
      </c>
      <c r="H67" s="242">
        <f t="shared" si="16"/>
        <v>-577541.28999999992</v>
      </c>
      <c r="I67" s="242">
        <f t="shared" si="16"/>
        <v>-577541.28999999992</v>
      </c>
      <c r="J67" s="242">
        <f t="shared" si="16"/>
        <v>-577541.28999999992</v>
      </c>
      <c r="K67" s="242">
        <f t="shared" si="16"/>
        <v>-577541.28999999992</v>
      </c>
      <c r="L67" s="242">
        <f t="shared" si="16"/>
        <v>-577541.28999999992</v>
      </c>
      <c r="M67" s="242">
        <f t="shared" si="16"/>
        <v>-577541.28999999992</v>
      </c>
      <c r="N67" s="242">
        <f t="shared" si="16"/>
        <v>-577541.28999999992</v>
      </c>
      <c r="O67" s="242">
        <f t="shared" si="16"/>
        <v>-577541.28999999992</v>
      </c>
      <c r="P67" s="242">
        <f t="shared" si="16"/>
        <v>-577541.28999999992</v>
      </c>
      <c r="Q67" s="242">
        <f t="shared" si="16"/>
        <v>-577541.28999999992</v>
      </c>
      <c r="R67" s="242">
        <f t="shared" si="16"/>
        <v>-577541.28999999992</v>
      </c>
      <c r="S67" s="242">
        <f t="shared" si="16"/>
        <v>-577541.28999999992</v>
      </c>
      <c r="T67" s="242">
        <f t="shared" si="16"/>
        <v>-577541.28999999992</v>
      </c>
      <c r="U67" s="242">
        <f t="shared" si="16"/>
        <v>-577541.28999999992</v>
      </c>
      <c r="V67" s="242">
        <f t="shared" si="16"/>
        <v>-577541.28999999992</v>
      </c>
      <c r="W67" s="242">
        <f t="shared" si="16"/>
        <v>-577541.28999999992</v>
      </c>
      <c r="X67" s="242">
        <f t="shared" si="16"/>
        <v>-577541.28999999992</v>
      </c>
      <c r="Y67" s="242">
        <f t="shared" si="16"/>
        <v>-577541.28999999992</v>
      </c>
      <c r="Z67" s="242">
        <f t="shared" si="16"/>
        <v>-577541.28999999992</v>
      </c>
      <c r="AA67" s="242">
        <f t="shared" si="16"/>
        <v>-577541.28999999992</v>
      </c>
      <c r="AB67" s="242">
        <f t="shared" si="16"/>
        <v>-577541.28999999992</v>
      </c>
      <c r="AC67" s="242">
        <f t="shared" si="16"/>
        <v>-577541.28999999992</v>
      </c>
      <c r="AD67" s="242">
        <f t="shared" si="16"/>
        <v>-577541.28999999992</v>
      </c>
      <c r="AE67" s="242">
        <f t="shared" si="16"/>
        <v>-577541.28999999992</v>
      </c>
      <c r="AF67" s="242">
        <f t="shared" si="16"/>
        <v>-577541.28999999992</v>
      </c>
      <c r="AG67" s="242">
        <f t="shared" si="16"/>
        <v>-577541.28999999992</v>
      </c>
    </row>
    <row r="68" spans="1:33" ht="28.5" x14ac:dyDescent="0.2">
      <c r="A68" s="150" t="s">
        <v>245</v>
      </c>
      <c r="B68" s="243">
        <f t="shared" ref="B68:J68" si="17">B66+B67</f>
        <v>0</v>
      </c>
      <c r="C68" s="243">
        <f>C66+C67</f>
        <v>-563388.55958248465</v>
      </c>
      <c r="D68" s="243">
        <f>D66+D67</f>
        <v>-571953.85226108774</v>
      </c>
      <c r="E68" s="243">
        <f t="shared" si="17"/>
        <v>-571404.18188774073</v>
      </c>
      <c r="F68" s="243">
        <f>F66+C67</f>
        <v>-570873.35741323314</v>
      </c>
      <c r="G68" s="243">
        <f t="shared" si="17"/>
        <v>-570300.05705002043</v>
      </c>
      <c r="H68" s="243">
        <f t="shared" si="17"/>
        <v>-825069.2624503905</v>
      </c>
      <c r="I68" s="243">
        <f t="shared" si="17"/>
        <v>-569645.64949506382</v>
      </c>
      <c r="J68" s="243">
        <f t="shared" si="17"/>
        <v>-569296.5912827357</v>
      </c>
      <c r="K68" s="243">
        <f>K66+K67</f>
        <v>-568932.101562917</v>
      </c>
      <c r="L68" s="243">
        <f>L66+L67</f>
        <v>-568551.49812440353</v>
      </c>
      <c r="M68" s="243">
        <f t="shared" ref="M68:AG68" si="18">M66+M67</f>
        <v>-568154.06859612954</v>
      </c>
      <c r="N68" s="243">
        <f t="shared" si="18"/>
        <v>-884840.4711047397</v>
      </c>
      <c r="O68" s="243">
        <f t="shared" si="18"/>
        <v>-567739.06911383104</v>
      </c>
      <c r="P68" s="243">
        <f t="shared" si="18"/>
        <v>-567305.72292776371</v>
      </c>
      <c r="Q68" s="243">
        <f t="shared" si="18"/>
        <v>-566853.21894886973</v>
      </c>
      <c r="R68" s="243">
        <f t="shared" si="18"/>
        <v>-566380.7102306711</v>
      </c>
      <c r="S68" s="243">
        <f t="shared" si="18"/>
        <v>-565887.31238405022</v>
      </c>
      <c r="T68" s="243">
        <f t="shared" si="18"/>
        <v>-975910.66579344473</v>
      </c>
      <c r="U68" s="243">
        <f t="shared" si="18"/>
        <v>-564834.11453088722</v>
      </c>
      <c r="V68" s="243">
        <f t="shared" si="18"/>
        <v>-564272.34326607129</v>
      </c>
      <c r="W68" s="243">
        <f t="shared" si="18"/>
        <v>-563685.73666670453</v>
      </c>
      <c r="X68" s="243">
        <f t="shared" si="18"/>
        <v>-563073.19678798108</v>
      </c>
      <c r="Y68" s="243">
        <f t="shared" si="18"/>
        <v>-562433.57714607508</v>
      </c>
      <c r="Z68" s="243">
        <f t="shared" si="18"/>
        <v>-1093970.1298021087</v>
      </c>
      <c r="AA68" s="243">
        <f t="shared" si="18"/>
        <v>-561068.25697228464</v>
      </c>
      <c r="AB68" s="243">
        <f t="shared" si="18"/>
        <v>-560340.00098637922</v>
      </c>
      <c r="AC68" s="243">
        <f t="shared" si="18"/>
        <v>-559579.54954623559</v>
      </c>
      <c r="AD68" s="243">
        <f t="shared" si="18"/>
        <v>-558785.47932366468</v>
      </c>
      <c r="AE68" s="243">
        <f t="shared" si="18"/>
        <v>-557956.30406659027</v>
      </c>
      <c r="AF68" s="243">
        <f t="shared" si="18"/>
        <v>-1247017.315982569</v>
      </c>
      <c r="AG68" s="243">
        <f t="shared" si="18"/>
        <v>-1297969.0961469393</v>
      </c>
    </row>
    <row r="69" spans="1:33" x14ac:dyDescent="0.2">
      <c r="A69" s="149" t="s">
        <v>243</v>
      </c>
      <c r="B69" s="242">
        <f t="shared" ref="B69:AG69" si="19">-B56</f>
        <v>0</v>
      </c>
      <c r="C69" s="242">
        <f t="shared" si="19"/>
        <v>0</v>
      </c>
      <c r="D69" s="242">
        <f t="shared" si="19"/>
        <v>0</v>
      </c>
      <c r="E69" s="242">
        <f t="shared" si="19"/>
        <v>0</v>
      </c>
      <c r="F69" s="242">
        <f t="shared" si="19"/>
        <v>0</v>
      </c>
      <c r="G69" s="242">
        <f t="shared" si="19"/>
        <v>0</v>
      </c>
      <c r="H69" s="242">
        <f t="shared" si="19"/>
        <v>0</v>
      </c>
      <c r="I69" s="242">
        <f t="shared" si="19"/>
        <v>0</v>
      </c>
      <c r="J69" s="242">
        <f t="shared" si="19"/>
        <v>0</v>
      </c>
      <c r="K69" s="242">
        <f t="shared" si="19"/>
        <v>0</v>
      </c>
      <c r="L69" s="242">
        <f t="shared" si="19"/>
        <v>0</v>
      </c>
      <c r="M69" s="242">
        <f t="shared" si="19"/>
        <v>0</v>
      </c>
      <c r="N69" s="242">
        <f t="shared" si="19"/>
        <v>0</v>
      </c>
      <c r="O69" s="242">
        <f t="shared" si="19"/>
        <v>0</v>
      </c>
      <c r="P69" s="242">
        <f t="shared" si="19"/>
        <v>0</v>
      </c>
      <c r="Q69" s="242">
        <f t="shared" si="19"/>
        <v>0</v>
      </c>
      <c r="R69" s="242">
        <f t="shared" si="19"/>
        <v>0</v>
      </c>
      <c r="S69" s="242">
        <f t="shared" si="19"/>
        <v>0</v>
      </c>
      <c r="T69" s="242">
        <f t="shared" si="19"/>
        <v>0</v>
      </c>
      <c r="U69" s="242">
        <f t="shared" si="19"/>
        <v>0</v>
      </c>
      <c r="V69" s="242">
        <f t="shared" si="19"/>
        <v>0</v>
      </c>
      <c r="W69" s="242">
        <f t="shared" si="19"/>
        <v>0</v>
      </c>
      <c r="X69" s="242">
        <f t="shared" si="19"/>
        <v>0</v>
      </c>
      <c r="Y69" s="242">
        <f t="shared" si="19"/>
        <v>0</v>
      </c>
      <c r="Z69" s="242">
        <f t="shared" si="19"/>
        <v>0</v>
      </c>
      <c r="AA69" s="242">
        <f t="shared" si="19"/>
        <v>0</v>
      </c>
      <c r="AB69" s="242">
        <f t="shared" si="19"/>
        <v>0</v>
      </c>
      <c r="AC69" s="242">
        <f t="shared" si="19"/>
        <v>0</v>
      </c>
      <c r="AD69" s="242">
        <f t="shared" si="19"/>
        <v>0</v>
      </c>
      <c r="AE69" s="242">
        <f t="shared" si="19"/>
        <v>0</v>
      </c>
      <c r="AF69" s="242">
        <f t="shared" si="19"/>
        <v>0</v>
      </c>
      <c r="AG69" s="242">
        <f t="shared" si="19"/>
        <v>0</v>
      </c>
    </row>
    <row r="70" spans="1:33" ht="14.25" x14ac:dyDescent="0.2">
      <c r="A70" s="150" t="s">
        <v>248</v>
      </c>
      <c r="B70" s="243">
        <f t="shared" ref="B70:AG70" si="20">B68+B69</f>
        <v>0</v>
      </c>
      <c r="C70" s="243">
        <f t="shared" si="20"/>
        <v>-563388.55958248465</v>
      </c>
      <c r="D70" s="243">
        <f t="shared" si="20"/>
        <v>-571953.85226108774</v>
      </c>
      <c r="E70" s="243">
        <f t="shared" si="20"/>
        <v>-571404.18188774073</v>
      </c>
      <c r="F70" s="243">
        <f t="shared" si="20"/>
        <v>-570873.35741323314</v>
      </c>
      <c r="G70" s="243">
        <f t="shared" si="20"/>
        <v>-570300.05705002043</v>
      </c>
      <c r="H70" s="243">
        <f t="shared" si="20"/>
        <v>-825069.2624503905</v>
      </c>
      <c r="I70" s="243">
        <f t="shared" si="20"/>
        <v>-569645.64949506382</v>
      </c>
      <c r="J70" s="243">
        <f t="shared" si="20"/>
        <v>-569296.5912827357</v>
      </c>
      <c r="K70" s="243">
        <f t="shared" si="20"/>
        <v>-568932.101562917</v>
      </c>
      <c r="L70" s="243">
        <f t="shared" si="20"/>
        <v>-568551.49812440353</v>
      </c>
      <c r="M70" s="243">
        <f t="shared" si="20"/>
        <v>-568154.06859612954</v>
      </c>
      <c r="N70" s="243">
        <f t="shared" si="20"/>
        <v>-884840.4711047397</v>
      </c>
      <c r="O70" s="243">
        <f t="shared" si="20"/>
        <v>-567739.06911383104</v>
      </c>
      <c r="P70" s="243">
        <f t="shared" si="20"/>
        <v>-567305.72292776371</v>
      </c>
      <c r="Q70" s="243">
        <f t="shared" si="20"/>
        <v>-566853.21894886973</v>
      </c>
      <c r="R70" s="243">
        <f t="shared" si="20"/>
        <v>-566380.7102306711</v>
      </c>
      <c r="S70" s="243">
        <f t="shared" si="20"/>
        <v>-565887.31238405022</v>
      </c>
      <c r="T70" s="243">
        <f t="shared" si="20"/>
        <v>-975910.66579344473</v>
      </c>
      <c r="U70" s="243">
        <f t="shared" si="20"/>
        <v>-564834.11453088722</v>
      </c>
      <c r="V70" s="243">
        <f t="shared" si="20"/>
        <v>-564272.34326607129</v>
      </c>
      <c r="W70" s="243">
        <f t="shared" si="20"/>
        <v>-563685.73666670453</v>
      </c>
      <c r="X70" s="243">
        <f t="shared" si="20"/>
        <v>-563073.19678798108</v>
      </c>
      <c r="Y70" s="243">
        <f t="shared" si="20"/>
        <v>-562433.57714607508</v>
      </c>
      <c r="Z70" s="243">
        <f t="shared" si="20"/>
        <v>-1093970.1298021087</v>
      </c>
      <c r="AA70" s="243">
        <f t="shared" si="20"/>
        <v>-561068.25697228464</v>
      </c>
      <c r="AB70" s="243">
        <f t="shared" si="20"/>
        <v>-560340.00098637922</v>
      </c>
      <c r="AC70" s="243">
        <f t="shared" si="20"/>
        <v>-559579.54954623559</v>
      </c>
      <c r="AD70" s="243">
        <f t="shared" si="20"/>
        <v>-558785.47932366468</v>
      </c>
      <c r="AE70" s="243">
        <f t="shared" si="20"/>
        <v>-557956.30406659027</v>
      </c>
      <c r="AF70" s="243">
        <f t="shared" si="20"/>
        <v>-1247017.315982569</v>
      </c>
      <c r="AG70" s="243">
        <f t="shared" si="20"/>
        <v>-1297969.0961469393</v>
      </c>
    </row>
    <row r="71" spans="1:33" x14ac:dyDescent="0.2">
      <c r="A71" s="149" t="s">
        <v>242</v>
      </c>
      <c r="B71" s="242">
        <f t="shared" ref="B71:AG71" si="21">-B70*$B$36</f>
        <v>0</v>
      </c>
      <c r="C71" s="242">
        <f t="shared" si="21"/>
        <v>112677.71191649693</v>
      </c>
      <c r="D71" s="242">
        <f t="shared" si="21"/>
        <v>114390.77045221755</v>
      </c>
      <c r="E71" s="242">
        <f t="shared" si="21"/>
        <v>114280.83637754816</v>
      </c>
      <c r="F71" s="242">
        <f t="shared" si="21"/>
        <v>114174.67148264663</v>
      </c>
      <c r="G71" s="242">
        <f t="shared" si="21"/>
        <v>114060.0114100041</v>
      </c>
      <c r="H71" s="242">
        <f t="shared" si="21"/>
        <v>165013.8524900781</v>
      </c>
      <c r="I71" s="242">
        <f t="shared" si="21"/>
        <v>113929.12989901277</v>
      </c>
      <c r="J71" s="242">
        <f t="shared" si="21"/>
        <v>113859.31825654715</v>
      </c>
      <c r="K71" s="242">
        <f t="shared" si="21"/>
        <v>113786.4203125834</v>
      </c>
      <c r="L71" s="242">
        <f t="shared" si="21"/>
        <v>113710.29962488072</v>
      </c>
      <c r="M71" s="242">
        <f t="shared" si="21"/>
        <v>113630.81371922592</v>
      </c>
      <c r="N71" s="242">
        <f t="shared" si="21"/>
        <v>176968.09422094794</v>
      </c>
      <c r="O71" s="242">
        <f t="shared" si="21"/>
        <v>113547.81382276621</v>
      </c>
      <c r="P71" s="242">
        <f t="shared" si="21"/>
        <v>113461.14458555274</v>
      </c>
      <c r="Q71" s="242">
        <f t="shared" si="21"/>
        <v>113370.64378977395</v>
      </c>
      <c r="R71" s="242">
        <f t="shared" si="21"/>
        <v>113276.14204613422</v>
      </c>
      <c r="S71" s="242">
        <f t="shared" si="21"/>
        <v>113177.46247681005</v>
      </c>
      <c r="T71" s="242">
        <f t="shared" si="21"/>
        <v>195182.13315868896</v>
      </c>
      <c r="U71" s="242">
        <f t="shared" si="21"/>
        <v>112966.82290617745</v>
      </c>
      <c r="V71" s="242">
        <f t="shared" si="21"/>
        <v>112854.46865321427</v>
      </c>
      <c r="W71" s="242">
        <f t="shared" si="21"/>
        <v>112737.14733334091</v>
      </c>
      <c r="X71" s="242">
        <f t="shared" si="21"/>
        <v>112614.63935759623</v>
      </c>
      <c r="Y71" s="242">
        <f t="shared" si="21"/>
        <v>112486.71542921502</v>
      </c>
      <c r="Z71" s="242">
        <f t="shared" si="21"/>
        <v>218794.02596042177</v>
      </c>
      <c r="AA71" s="242">
        <f t="shared" si="21"/>
        <v>112213.65139445693</v>
      </c>
      <c r="AB71" s="242">
        <f t="shared" si="21"/>
        <v>112068.00019727585</v>
      </c>
      <c r="AC71" s="242">
        <f t="shared" si="21"/>
        <v>111915.90990924713</v>
      </c>
      <c r="AD71" s="242">
        <f t="shared" si="21"/>
        <v>111757.09586473294</v>
      </c>
      <c r="AE71" s="242">
        <f t="shared" si="21"/>
        <v>111591.26081331806</v>
      </c>
      <c r="AF71" s="242">
        <f t="shared" si="21"/>
        <v>249403.46319651383</v>
      </c>
      <c r="AG71" s="242">
        <f t="shared" si="21"/>
        <v>259593.81922938788</v>
      </c>
    </row>
    <row r="72" spans="1:33" ht="15" thickBot="1" x14ac:dyDescent="0.25">
      <c r="A72" s="152" t="s">
        <v>247</v>
      </c>
      <c r="B72" s="153">
        <f t="shared" ref="B72:AG72" si="22">B70+B71</f>
        <v>0</v>
      </c>
      <c r="C72" s="153">
        <f t="shared" si="22"/>
        <v>-450710.84766598773</v>
      </c>
      <c r="D72" s="153">
        <f t="shared" si="22"/>
        <v>-457563.08180887019</v>
      </c>
      <c r="E72" s="153">
        <f t="shared" si="22"/>
        <v>-457123.34551019256</v>
      </c>
      <c r="F72" s="153">
        <f t="shared" si="22"/>
        <v>-456698.68593058654</v>
      </c>
      <c r="G72" s="153">
        <f t="shared" si="22"/>
        <v>-456240.04564001632</v>
      </c>
      <c r="H72" s="153">
        <f t="shared" si="22"/>
        <v>-660055.40996031242</v>
      </c>
      <c r="I72" s="153">
        <f t="shared" si="22"/>
        <v>-455716.51959605108</v>
      </c>
      <c r="J72" s="153">
        <f t="shared" si="22"/>
        <v>-455437.27302618854</v>
      </c>
      <c r="K72" s="153">
        <f t="shared" si="22"/>
        <v>-455145.68125033361</v>
      </c>
      <c r="L72" s="153">
        <f t="shared" si="22"/>
        <v>-454841.19849952281</v>
      </c>
      <c r="M72" s="153">
        <f t="shared" si="22"/>
        <v>-454523.25487690361</v>
      </c>
      <c r="N72" s="153">
        <f t="shared" si="22"/>
        <v>-707872.37688379176</v>
      </c>
      <c r="O72" s="153">
        <f t="shared" si="22"/>
        <v>-454191.25529106485</v>
      </c>
      <c r="P72" s="153">
        <f t="shared" si="22"/>
        <v>-453844.57834221097</v>
      </c>
      <c r="Q72" s="153">
        <f t="shared" si="22"/>
        <v>-453482.57515909581</v>
      </c>
      <c r="R72" s="153">
        <f t="shared" si="22"/>
        <v>-453104.56818453688</v>
      </c>
      <c r="S72" s="153">
        <f t="shared" si="22"/>
        <v>-452709.84990724019</v>
      </c>
      <c r="T72" s="153">
        <f t="shared" si="22"/>
        <v>-780728.53263475583</v>
      </c>
      <c r="U72" s="153">
        <f t="shared" si="22"/>
        <v>-451867.29162470979</v>
      </c>
      <c r="V72" s="153">
        <f t="shared" si="22"/>
        <v>-451417.87461285701</v>
      </c>
      <c r="W72" s="153">
        <f t="shared" si="22"/>
        <v>-450948.58933336363</v>
      </c>
      <c r="X72" s="153">
        <f t="shared" si="22"/>
        <v>-450458.55743038486</v>
      </c>
      <c r="Y72" s="153">
        <f t="shared" si="22"/>
        <v>-449946.86171686009</v>
      </c>
      <c r="Z72" s="153">
        <f t="shared" si="22"/>
        <v>-875176.10384168697</v>
      </c>
      <c r="AA72" s="153">
        <f t="shared" si="22"/>
        <v>-448854.60557782772</v>
      </c>
      <c r="AB72" s="153">
        <f t="shared" si="22"/>
        <v>-448272.00078910339</v>
      </c>
      <c r="AC72" s="153">
        <f t="shared" si="22"/>
        <v>-447663.63963698846</v>
      </c>
      <c r="AD72" s="153">
        <f t="shared" si="22"/>
        <v>-447028.38345893176</v>
      </c>
      <c r="AE72" s="153">
        <f t="shared" si="22"/>
        <v>-446365.04325327219</v>
      </c>
      <c r="AF72" s="153">
        <f t="shared" si="22"/>
        <v>-997613.85278605518</v>
      </c>
      <c r="AG72" s="153">
        <f t="shared" si="22"/>
        <v>-1038375.2769175514</v>
      </c>
    </row>
    <row r="73" spans="1:33" s="160" customFormat="1" ht="16.5" thickBot="1" x14ac:dyDescent="0.25">
      <c r="A73" s="357"/>
      <c r="B73" s="358">
        <f>C134</f>
        <v>0.5</v>
      </c>
      <c r="C73" s="358">
        <f t="shared" ref="C73:AG73" si="23">D134</f>
        <v>1.5</v>
      </c>
      <c r="D73" s="358">
        <f t="shared" si="23"/>
        <v>2.5</v>
      </c>
      <c r="E73" s="358">
        <f t="shared" si="23"/>
        <v>3.5</v>
      </c>
      <c r="F73" s="358">
        <f t="shared" si="23"/>
        <v>4.5</v>
      </c>
      <c r="G73" s="358">
        <f t="shared" si="23"/>
        <v>5.5</v>
      </c>
      <c r="H73" s="358">
        <f t="shared" si="23"/>
        <v>6.5</v>
      </c>
      <c r="I73" s="358">
        <f t="shared" si="23"/>
        <v>7.5</v>
      </c>
      <c r="J73" s="358">
        <f t="shared" si="23"/>
        <v>8.5</v>
      </c>
      <c r="K73" s="358">
        <f t="shared" si="23"/>
        <v>9.5</v>
      </c>
      <c r="L73" s="358">
        <f t="shared" si="23"/>
        <v>10.5</v>
      </c>
      <c r="M73" s="358">
        <f t="shared" si="23"/>
        <v>11.5</v>
      </c>
      <c r="N73" s="358">
        <f t="shared" si="23"/>
        <v>12.5</v>
      </c>
      <c r="O73" s="358">
        <f t="shared" si="23"/>
        <v>13.5</v>
      </c>
      <c r="P73" s="358">
        <f t="shared" si="23"/>
        <v>14.5</v>
      </c>
      <c r="Q73" s="358">
        <f t="shared" si="23"/>
        <v>15.5</v>
      </c>
      <c r="R73" s="358">
        <f t="shared" si="23"/>
        <v>16.5</v>
      </c>
      <c r="S73" s="358">
        <f t="shared" si="23"/>
        <v>17.5</v>
      </c>
      <c r="T73" s="358">
        <f t="shared" si="23"/>
        <v>18.5</v>
      </c>
      <c r="U73" s="358">
        <f t="shared" si="23"/>
        <v>19.5</v>
      </c>
      <c r="V73" s="358">
        <f t="shared" si="23"/>
        <v>20.5</v>
      </c>
      <c r="W73" s="358">
        <f t="shared" si="23"/>
        <v>21.5</v>
      </c>
      <c r="X73" s="358">
        <f t="shared" si="23"/>
        <v>22.5</v>
      </c>
      <c r="Y73" s="358">
        <f t="shared" si="23"/>
        <v>23.5</v>
      </c>
      <c r="Z73" s="358">
        <f t="shared" si="23"/>
        <v>24.5</v>
      </c>
      <c r="AA73" s="358">
        <f t="shared" si="23"/>
        <v>25.5</v>
      </c>
      <c r="AB73" s="358">
        <f t="shared" si="23"/>
        <v>26.5</v>
      </c>
      <c r="AC73" s="358">
        <f t="shared" si="23"/>
        <v>27.5</v>
      </c>
      <c r="AD73" s="358">
        <f t="shared" si="23"/>
        <v>28.5</v>
      </c>
      <c r="AE73" s="358">
        <f t="shared" si="23"/>
        <v>29.5</v>
      </c>
      <c r="AF73" s="358">
        <f t="shared" si="23"/>
        <v>30.5</v>
      </c>
      <c r="AG73" s="358">
        <f t="shared" si="23"/>
        <v>31.5</v>
      </c>
    </row>
    <row r="74" spans="1:33" x14ac:dyDescent="0.2">
      <c r="A74" s="140" t="s">
        <v>246</v>
      </c>
      <c r="B74" s="141">
        <f t="shared" ref="B74:AG74" si="24">B58</f>
        <v>1</v>
      </c>
      <c r="C74" s="141">
        <f t="shared" si="24"/>
        <v>2</v>
      </c>
      <c r="D74" s="141">
        <f t="shared" si="24"/>
        <v>3</v>
      </c>
      <c r="E74" s="141">
        <f t="shared" si="24"/>
        <v>4</v>
      </c>
      <c r="F74" s="141">
        <f t="shared" si="24"/>
        <v>5</v>
      </c>
      <c r="G74" s="141">
        <f t="shared" si="24"/>
        <v>6</v>
      </c>
      <c r="H74" s="141">
        <f t="shared" si="24"/>
        <v>7</v>
      </c>
      <c r="I74" s="141">
        <f t="shared" si="24"/>
        <v>8</v>
      </c>
      <c r="J74" s="141">
        <f t="shared" si="24"/>
        <v>9</v>
      </c>
      <c r="K74" s="141">
        <f t="shared" si="24"/>
        <v>10</v>
      </c>
      <c r="L74" s="141">
        <f t="shared" si="24"/>
        <v>11</v>
      </c>
      <c r="M74" s="141">
        <f t="shared" si="24"/>
        <v>12</v>
      </c>
      <c r="N74" s="141">
        <f t="shared" si="24"/>
        <v>13</v>
      </c>
      <c r="O74" s="141">
        <f t="shared" si="24"/>
        <v>14</v>
      </c>
      <c r="P74" s="141">
        <f t="shared" si="24"/>
        <v>15</v>
      </c>
      <c r="Q74" s="141">
        <f t="shared" si="24"/>
        <v>16</v>
      </c>
      <c r="R74" s="141">
        <f t="shared" si="24"/>
        <v>17</v>
      </c>
      <c r="S74" s="141">
        <f t="shared" si="24"/>
        <v>18</v>
      </c>
      <c r="T74" s="141">
        <f t="shared" si="24"/>
        <v>19</v>
      </c>
      <c r="U74" s="141">
        <f t="shared" si="24"/>
        <v>20</v>
      </c>
      <c r="V74" s="141">
        <f t="shared" si="24"/>
        <v>21</v>
      </c>
      <c r="W74" s="141">
        <f t="shared" si="24"/>
        <v>22</v>
      </c>
      <c r="X74" s="141">
        <f t="shared" si="24"/>
        <v>23</v>
      </c>
      <c r="Y74" s="141">
        <f t="shared" si="24"/>
        <v>24</v>
      </c>
      <c r="Z74" s="141">
        <f t="shared" si="24"/>
        <v>25</v>
      </c>
      <c r="AA74" s="141">
        <f t="shared" si="24"/>
        <v>26</v>
      </c>
      <c r="AB74" s="141">
        <f t="shared" si="24"/>
        <v>27</v>
      </c>
      <c r="AC74" s="141">
        <f t="shared" si="24"/>
        <v>28</v>
      </c>
      <c r="AD74" s="141">
        <f t="shared" si="24"/>
        <v>29</v>
      </c>
      <c r="AE74" s="141">
        <f t="shared" si="24"/>
        <v>30</v>
      </c>
      <c r="AF74" s="141">
        <f t="shared" si="24"/>
        <v>31</v>
      </c>
      <c r="AG74" s="141">
        <f t="shared" si="24"/>
        <v>32</v>
      </c>
    </row>
    <row r="75" spans="1:33" ht="28.5" x14ac:dyDescent="0.2">
      <c r="A75" s="148" t="s">
        <v>245</v>
      </c>
      <c r="B75" s="243">
        <f t="shared" ref="B75:AG75" si="25">B68</f>
        <v>0</v>
      </c>
      <c r="C75" s="243">
        <f t="shared" si="25"/>
        <v>-563388.55958248465</v>
      </c>
      <c r="D75" s="243">
        <f>D68</f>
        <v>-571953.85226108774</v>
      </c>
      <c r="E75" s="243">
        <f t="shared" si="25"/>
        <v>-571404.18188774073</v>
      </c>
      <c r="F75" s="243">
        <f t="shared" si="25"/>
        <v>-570873.35741323314</v>
      </c>
      <c r="G75" s="243">
        <f t="shared" si="25"/>
        <v>-570300.05705002043</v>
      </c>
      <c r="H75" s="243">
        <f t="shared" si="25"/>
        <v>-825069.2624503905</v>
      </c>
      <c r="I75" s="243">
        <f t="shared" si="25"/>
        <v>-569645.64949506382</v>
      </c>
      <c r="J75" s="243">
        <f t="shared" si="25"/>
        <v>-569296.5912827357</v>
      </c>
      <c r="K75" s="243">
        <f t="shared" si="25"/>
        <v>-568932.101562917</v>
      </c>
      <c r="L75" s="243">
        <f t="shared" si="25"/>
        <v>-568551.49812440353</v>
      </c>
      <c r="M75" s="243">
        <f t="shared" si="25"/>
        <v>-568154.06859612954</v>
      </c>
      <c r="N75" s="243">
        <f t="shared" si="25"/>
        <v>-884840.4711047397</v>
      </c>
      <c r="O75" s="243">
        <f t="shared" si="25"/>
        <v>-567739.06911383104</v>
      </c>
      <c r="P75" s="243">
        <f t="shared" si="25"/>
        <v>-567305.72292776371</v>
      </c>
      <c r="Q75" s="243">
        <f t="shared" si="25"/>
        <v>-566853.21894886973</v>
      </c>
      <c r="R75" s="243">
        <f t="shared" si="25"/>
        <v>-566380.7102306711</v>
      </c>
      <c r="S75" s="243">
        <f t="shared" si="25"/>
        <v>-565887.31238405022</v>
      </c>
      <c r="T75" s="243">
        <f t="shared" si="25"/>
        <v>-975910.66579344473</v>
      </c>
      <c r="U75" s="243">
        <f t="shared" si="25"/>
        <v>-564834.11453088722</v>
      </c>
      <c r="V75" s="243">
        <f t="shared" si="25"/>
        <v>-564272.34326607129</v>
      </c>
      <c r="W75" s="243">
        <f t="shared" si="25"/>
        <v>-563685.73666670453</v>
      </c>
      <c r="X75" s="243">
        <f t="shared" si="25"/>
        <v>-563073.19678798108</v>
      </c>
      <c r="Y75" s="243">
        <f t="shared" si="25"/>
        <v>-562433.57714607508</v>
      </c>
      <c r="Z75" s="243">
        <f t="shared" si="25"/>
        <v>-1093970.1298021087</v>
      </c>
      <c r="AA75" s="243">
        <f t="shared" si="25"/>
        <v>-561068.25697228464</v>
      </c>
      <c r="AB75" s="243">
        <f t="shared" si="25"/>
        <v>-560340.00098637922</v>
      </c>
      <c r="AC75" s="243">
        <f t="shared" si="25"/>
        <v>-559579.54954623559</v>
      </c>
      <c r="AD75" s="243">
        <f t="shared" si="25"/>
        <v>-558785.47932366468</v>
      </c>
      <c r="AE75" s="243">
        <f t="shared" si="25"/>
        <v>-557956.30406659027</v>
      </c>
      <c r="AF75" s="243">
        <f t="shared" si="25"/>
        <v>-1247017.315982569</v>
      </c>
      <c r="AG75" s="243">
        <f t="shared" si="25"/>
        <v>-1297969.0961469393</v>
      </c>
    </row>
    <row r="76" spans="1:33" x14ac:dyDescent="0.2">
      <c r="A76" s="149" t="s">
        <v>244</v>
      </c>
      <c r="B76" s="242">
        <f t="shared" ref="B76:AG76" si="26">-B67</f>
        <v>0</v>
      </c>
      <c r="C76" s="242">
        <f>-C67</f>
        <v>577541.28999999992</v>
      </c>
      <c r="D76" s="242">
        <f>-D67</f>
        <v>577541.28999999992</v>
      </c>
      <c r="E76" s="242">
        <f t="shared" si="26"/>
        <v>577541.28999999992</v>
      </c>
      <c r="F76" s="242">
        <f t="shared" si="26"/>
        <v>577541.28999999992</v>
      </c>
      <c r="G76" s="242">
        <f t="shared" si="26"/>
        <v>577541.28999999992</v>
      </c>
      <c r="H76" s="242">
        <f t="shared" si="26"/>
        <v>577541.28999999992</v>
      </c>
      <c r="I76" s="242">
        <f t="shared" si="26"/>
        <v>577541.28999999992</v>
      </c>
      <c r="J76" s="242">
        <f t="shared" si="26"/>
        <v>577541.28999999992</v>
      </c>
      <c r="K76" s="242">
        <f t="shared" si="26"/>
        <v>577541.28999999992</v>
      </c>
      <c r="L76" s="242">
        <f>-L67</f>
        <v>577541.28999999992</v>
      </c>
      <c r="M76" s="242">
        <f>-M67</f>
        <v>577541.28999999992</v>
      </c>
      <c r="N76" s="242">
        <f t="shared" si="26"/>
        <v>577541.28999999992</v>
      </c>
      <c r="O76" s="242">
        <f t="shared" si="26"/>
        <v>577541.28999999992</v>
      </c>
      <c r="P76" s="242">
        <f t="shared" si="26"/>
        <v>577541.28999999992</v>
      </c>
      <c r="Q76" s="242">
        <f t="shared" si="26"/>
        <v>577541.28999999992</v>
      </c>
      <c r="R76" s="242">
        <f t="shared" si="26"/>
        <v>577541.28999999992</v>
      </c>
      <c r="S76" s="242">
        <f t="shared" si="26"/>
        <v>577541.28999999992</v>
      </c>
      <c r="T76" s="242">
        <f t="shared" si="26"/>
        <v>577541.28999999992</v>
      </c>
      <c r="U76" s="242">
        <f t="shared" si="26"/>
        <v>577541.28999999992</v>
      </c>
      <c r="V76" s="242">
        <f t="shared" si="26"/>
        <v>577541.28999999992</v>
      </c>
      <c r="W76" s="242">
        <f t="shared" si="26"/>
        <v>577541.28999999992</v>
      </c>
      <c r="X76" s="242">
        <f t="shared" si="26"/>
        <v>577541.28999999992</v>
      </c>
      <c r="Y76" s="242">
        <f t="shared" si="26"/>
        <v>577541.28999999992</v>
      </c>
      <c r="Z76" s="242">
        <f t="shared" si="26"/>
        <v>577541.28999999992</v>
      </c>
      <c r="AA76" s="242">
        <f t="shared" si="26"/>
        <v>577541.28999999992</v>
      </c>
      <c r="AB76" s="242">
        <f t="shared" si="26"/>
        <v>577541.28999999992</v>
      </c>
      <c r="AC76" s="242">
        <f t="shared" si="26"/>
        <v>577541.28999999992</v>
      </c>
      <c r="AD76" s="242">
        <f t="shared" si="26"/>
        <v>577541.28999999992</v>
      </c>
      <c r="AE76" s="242">
        <f t="shared" si="26"/>
        <v>577541.28999999992</v>
      </c>
      <c r="AF76" s="242">
        <f t="shared" si="26"/>
        <v>577541.28999999992</v>
      </c>
      <c r="AG76" s="242">
        <f t="shared" si="26"/>
        <v>577541.28999999992</v>
      </c>
    </row>
    <row r="77" spans="1:33" x14ac:dyDescent="0.2">
      <c r="A77" s="149" t="s">
        <v>243</v>
      </c>
      <c r="B77" s="242">
        <f t="shared" ref="B77:AG77" si="27">B69</f>
        <v>0</v>
      </c>
      <c r="C77" s="242">
        <f t="shared" si="27"/>
        <v>0</v>
      </c>
      <c r="D77" s="242">
        <f t="shared" si="27"/>
        <v>0</v>
      </c>
      <c r="E77" s="242">
        <f t="shared" si="27"/>
        <v>0</v>
      </c>
      <c r="F77" s="242">
        <f t="shared" si="27"/>
        <v>0</v>
      </c>
      <c r="G77" s="242">
        <f t="shared" si="27"/>
        <v>0</v>
      </c>
      <c r="H77" s="242">
        <f t="shared" si="27"/>
        <v>0</v>
      </c>
      <c r="I77" s="242">
        <f t="shared" si="27"/>
        <v>0</v>
      </c>
      <c r="J77" s="242">
        <f t="shared" si="27"/>
        <v>0</v>
      </c>
      <c r="K77" s="242">
        <f t="shared" si="27"/>
        <v>0</v>
      </c>
      <c r="L77" s="242">
        <f t="shared" si="27"/>
        <v>0</v>
      </c>
      <c r="M77" s="242">
        <f t="shared" si="27"/>
        <v>0</v>
      </c>
      <c r="N77" s="242">
        <f t="shared" si="27"/>
        <v>0</v>
      </c>
      <c r="O77" s="242">
        <f t="shared" si="27"/>
        <v>0</v>
      </c>
      <c r="P77" s="242">
        <f t="shared" si="27"/>
        <v>0</v>
      </c>
      <c r="Q77" s="242">
        <f t="shared" si="27"/>
        <v>0</v>
      </c>
      <c r="R77" s="242">
        <f t="shared" si="27"/>
        <v>0</v>
      </c>
      <c r="S77" s="242">
        <f t="shared" si="27"/>
        <v>0</v>
      </c>
      <c r="T77" s="242">
        <f t="shared" si="27"/>
        <v>0</v>
      </c>
      <c r="U77" s="242">
        <f t="shared" si="27"/>
        <v>0</v>
      </c>
      <c r="V77" s="242">
        <f t="shared" si="27"/>
        <v>0</v>
      </c>
      <c r="W77" s="242">
        <f t="shared" si="27"/>
        <v>0</v>
      </c>
      <c r="X77" s="242">
        <f t="shared" si="27"/>
        <v>0</v>
      </c>
      <c r="Y77" s="242">
        <f t="shared" si="27"/>
        <v>0</v>
      </c>
      <c r="Z77" s="242">
        <f t="shared" si="27"/>
        <v>0</v>
      </c>
      <c r="AA77" s="242">
        <f t="shared" si="27"/>
        <v>0</v>
      </c>
      <c r="AB77" s="242">
        <f t="shared" si="27"/>
        <v>0</v>
      </c>
      <c r="AC77" s="242">
        <f t="shared" si="27"/>
        <v>0</v>
      </c>
      <c r="AD77" s="242">
        <f t="shared" si="27"/>
        <v>0</v>
      </c>
      <c r="AE77" s="242">
        <f t="shared" si="27"/>
        <v>0</v>
      </c>
      <c r="AF77" s="242">
        <f t="shared" si="27"/>
        <v>0</v>
      </c>
      <c r="AG77" s="242">
        <f t="shared" si="27"/>
        <v>0</v>
      </c>
    </row>
    <row r="78" spans="1:33" x14ac:dyDescent="0.2">
      <c r="A78" s="149" t="s">
        <v>242</v>
      </c>
      <c r="B78" s="242">
        <f>IF(SUM($B$71:B71)+SUM($A$78:A78)&gt;0,0,SUM($B$71:B71)-SUM($A$78:A78))</f>
        <v>0</v>
      </c>
      <c r="C78" s="242">
        <f>IF(SUM($B$71:C71)+SUM($A$78:B78)&gt;0,0,SUM($B$71:C71)-SUM($A$78:B78))</f>
        <v>0</v>
      </c>
      <c r="D78" s="242">
        <f>IF(SUM($B$71:D71)+SUM($A$78:C78)&gt;0,0,SUM($B$71:D71)-SUM($A$78:C78))</f>
        <v>0</v>
      </c>
      <c r="E78" s="242">
        <f>IF(SUM($B$71:E71)+SUM($A$78:D78)&gt;0,0,SUM($B$71:E71)-SUM($A$78:D78))</f>
        <v>0</v>
      </c>
      <c r="F78" s="242">
        <f>IF(SUM($B$71:F71)+SUM($A$78:E78)&gt;0,0,SUM($B$71:F71)-SUM($A$78:E78))</f>
        <v>0</v>
      </c>
      <c r="G78" s="242">
        <f>IF(SUM($B$71:G71)+SUM($A$78:F78)&gt;0,0,SUM($B$71:G71)-SUM($A$78:F78))</f>
        <v>0</v>
      </c>
      <c r="H78" s="242">
        <f>IF(SUM($B$71:H71)+SUM($A$78:G78)&gt;0,0,SUM($B$71:H71)-SUM($A$78:G78))</f>
        <v>0</v>
      </c>
      <c r="I78" s="242">
        <f>IF(SUM($B$71:I71)+SUM($A$78:H78)&gt;0,0,SUM($B$71:I71)-SUM($A$78:H78))</f>
        <v>0</v>
      </c>
      <c r="J78" s="242">
        <f>IF(SUM($B$71:J71)+SUM($A$78:I78)&gt;0,0,SUM($B$71:J71)-SUM($A$78:I78))</f>
        <v>0</v>
      </c>
      <c r="K78" s="242">
        <f>IF(SUM($B$71:K71)+SUM($A$78:J78)&gt;0,0,SUM($B$71:K71)-SUM($A$78:J78))</f>
        <v>0</v>
      </c>
      <c r="L78" s="242">
        <f>IF(SUM($B$71:L71)+SUM($A$78:K78)&gt;0,0,SUM($B$71:L71)-SUM($A$78:K78))</f>
        <v>0</v>
      </c>
      <c r="M78" s="242">
        <f>IF(SUM($B$71:M71)+SUM($A$78:L78)&gt;0,0,SUM($B$71:M71)-SUM($A$78:L78))</f>
        <v>0</v>
      </c>
      <c r="N78" s="242">
        <f>IF(SUM($B$71:N71)+SUM($A$78:M78)&gt;0,0,SUM($B$71:N71)-SUM($A$78:M78))</f>
        <v>0</v>
      </c>
      <c r="O78" s="242">
        <f>IF(SUM($B$71:O71)+SUM($A$78:N78)&gt;0,0,SUM($B$71:O71)-SUM($A$78:N78))</f>
        <v>0</v>
      </c>
      <c r="P78" s="242">
        <f>IF(SUM($B$71:P71)+SUM($A$78:O78)&gt;0,0,SUM($B$71:P71)-SUM($A$78:O78))</f>
        <v>0</v>
      </c>
      <c r="Q78" s="242">
        <f>IF(SUM($B$71:Q71)+SUM($A$78:P78)&gt;0,0,SUM($B$71:Q71)-SUM($A$78:P78))</f>
        <v>0</v>
      </c>
      <c r="R78" s="242">
        <f>IF(SUM($B$71:R71)+SUM($A$78:Q78)&gt;0,0,SUM($B$71:R71)-SUM($A$78:Q78))</f>
        <v>0</v>
      </c>
      <c r="S78" s="242">
        <f>IF(SUM($B$71:S71)+SUM($A$78:R78)&gt;0,0,SUM($B$71:S71)-SUM($A$78:R78))</f>
        <v>0</v>
      </c>
      <c r="T78" s="242">
        <f>IF(SUM($B$71:T71)+SUM($A$78:S78)&gt;0,0,SUM($B$71:T71)-SUM($A$78:S78))</f>
        <v>0</v>
      </c>
      <c r="U78" s="242">
        <f>IF(SUM($B$71:U71)+SUM($A$78:T78)&gt;0,0,SUM($B$71:U71)-SUM($A$78:T78))</f>
        <v>0</v>
      </c>
      <c r="V78" s="242">
        <f>IF(SUM($B$71:V71)+SUM($A$78:U78)&gt;0,0,SUM($B$71:V71)-SUM($A$78:U78))</f>
        <v>0</v>
      </c>
      <c r="W78" s="242">
        <f>IF(SUM($B$71:W71)+SUM($A$78:V78)&gt;0,0,SUM($B$71:W71)-SUM($A$78:V78))</f>
        <v>0</v>
      </c>
      <c r="X78" s="242">
        <f>IF(SUM($B$71:X71)+SUM($A$78:W78)&gt;0,0,SUM($B$71:X71)-SUM($A$78:W78))</f>
        <v>0</v>
      </c>
      <c r="Y78" s="242">
        <f>IF(SUM($B$71:Y71)+SUM($A$78:X78)&gt;0,0,SUM($B$71:Y71)-SUM($A$78:X78))</f>
        <v>0</v>
      </c>
      <c r="Z78" s="242">
        <f>IF(SUM($B$71:Z71)+SUM($A$78:Y78)&gt;0,0,SUM($B$71:Z71)-SUM($A$78:Y78))</f>
        <v>0</v>
      </c>
      <c r="AA78" s="242">
        <f>IF(SUM($B$71:AA71)+SUM($A$78:Z78)&gt;0,0,SUM($B$71:AA71)-SUM($A$78:Z78))</f>
        <v>0</v>
      </c>
      <c r="AB78" s="242">
        <f>IF(SUM($B$71:AB71)+SUM($A$78:AA78)&gt;0,0,SUM($B$71:AB71)-SUM($A$78:AA78))</f>
        <v>0</v>
      </c>
      <c r="AC78" s="242">
        <f>IF(SUM($B$71:AC71)+SUM($A$78:AB78)&gt;0,0,SUM($B$71:AC71)-SUM($A$78:AB78))</f>
        <v>0</v>
      </c>
      <c r="AD78" s="242">
        <f>IF(SUM($B$71:AD71)+SUM($A$78:AC78)&gt;0,0,SUM($B$71:AD71)-SUM($A$78:AC78))</f>
        <v>0</v>
      </c>
      <c r="AE78" s="242">
        <f>IF(SUM($B$71:AE71)+SUM($A$78:AD78)&gt;0,0,SUM($B$71:AE71)-SUM($A$78:AD78))</f>
        <v>0</v>
      </c>
      <c r="AF78" s="242">
        <f>IF(SUM($B$71:AF71)+SUM($A$78:AE78)&gt;0,0,SUM($B$71:AF71)-SUM($A$78:AE78))</f>
        <v>0</v>
      </c>
      <c r="AG78" s="242">
        <f>IF(SUM($B$71:AG71)+SUM($A$78:AF78)&gt;0,0,SUM($B$71:AG71)-SUM($A$78:AF78))</f>
        <v>0</v>
      </c>
    </row>
    <row r="79" spans="1:33" x14ac:dyDescent="0.2">
      <c r="A79" s="149" t="s">
        <v>241</v>
      </c>
      <c r="B79" s="242"/>
      <c r="C79" s="242"/>
      <c r="D79" s="242"/>
      <c r="E79" s="242"/>
      <c r="F79" s="242"/>
      <c r="G79" s="242"/>
      <c r="H79" s="242"/>
      <c r="I79" s="242"/>
      <c r="J79" s="242"/>
      <c r="K79" s="242"/>
      <c r="L79" s="242"/>
      <c r="M79" s="242"/>
      <c r="N79" s="242"/>
      <c r="O79" s="242"/>
      <c r="P79" s="242"/>
      <c r="Q79" s="242"/>
      <c r="R79" s="242"/>
      <c r="S79" s="242"/>
      <c r="T79" s="242"/>
      <c r="U79" s="242"/>
      <c r="V79" s="242"/>
      <c r="W79" s="242"/>
      <c r="X79" s="242"/>
      <c r="Y79" s="242"/>
      <c r="Z79" s="242"/>
      <c r="AA79" s="242"/>
      <c r="AB79" s="242"/>
      <c r="AC79" s="242"/>
      <c r="AD79" s="242"/>
      <c r="AE79" s="242"/>
      <c r="AF79" s="242"/>
      <c r="AG79" s="242"/>
    </row>
    <row r="80" spans="1:33" x14ac:dyDescent="0.2">
      <c r="A80" s="149" t="s">
        <v>240</v>
      </c>
      <c r="B80" s="242">
        <f>-B59*(B39)</f>
        <v>0</v>
      </c>
      <c r="C80" s="242">
        <f t="shared" ref="C80:AG80" si="28">-(C59-B59)*$B$39</f>
        <v>0</v>
      </c>
      <c r="D80" s="242">
        <f t="shared" si="28"/>
        <v>0</v>
      </c>
      <c r="E80" s="242">
        <f t="shared" si="28"/>
        <v>0</v>
      </c>
      <c r="F80" s="242">
        <f t="shared" si="28"/>
        <v>0</v>
      </c>
      <c r="G80" s="242">
        <f t="shared" si="28"/>
        <v>0</v>
      </c>
      <c r="H80" s="242">
        <f t="shared" si="28"/>
        <v>0</v>
      </c>
      <c r="I80" s="242">
        <f t="shared" si="28"/>
        <v>0</v>
      </c>
      <c r="J80" s="242">
        <f t="shared" si="28"/>
        <v>0</v>
      </c>
      <c r="K80" s="242">
        <f t="shared" si="28"/>
        <v>0</v>
      </c>
      <c r="L80" s="242">
        <f t="shared" si="28"/>
        <v>0</v>
      </c>
      <c r="M80" s="242">
        <f t="shared" si="28"/>
        <v>0</v>
      </c>
      <c r="N80" s="242">
        <f t="shared" si="28"/>
        <v>0</v>
      </c>
      <c r="O80" s="242">
        <f t="shared" si="28"/>
        <v>0</v>
      </c>
      <c r="P80" s="242">
        <f t="shared" si="28"/>
        <v>0</v>
      </c>
      <c r="Q80" s="242">
        <f t="shared" si="28"/>
        <v>0</v>
      </c>
      <c r="R80" s="242">
        <f t="shared" si="28"/>
        <v>0</v>
      </c>
      <c r="S80" s="242">
        <f t="shared" si="28"/>
        <v>0</v>
      </c>
      <c r="T80" s="242">
        <f t="shared" si="28"/>
        <v>0</v>
      </c>
      <c r="U80" s="242">
        <f t="shared" si="28"/>
        <v>0</v>
      </c>
      <c r="V80" s="242">
        <f t="shared" si="28"/>
        <v>0</v>
      </c>
      <c r="W80" s="242">
        <f t="shared" si="28"/>
        <v>0</v>
      </c>
      <c r="X80" s="242">
        <f t="shared" si="28"/>
        <v>0</v>
      </c>
      <c r="Y80" s="242">
        <f t="shared" si="28"/>
        <v>0</v>
      </c>
      <c r="Z80" s="242">
        <f t="shared" si="28"/>
        <v>0</v>
      </c>
      <c r="AA80" s="242">
        <f t="shared" si="28"/>
        <v>0</v>
      </c>
      <c r="AB80" s="242">
        <f t="shared" si="28"/>
        <v>0</v>
      </c>
      <c r="AC80" s="242">
        <f t="shared" si="28"/>
        <v>0</v>
      </c>
      <c r="AD80" s="242">
        <f t="shared" si="28"/>
        <v>0</v>
      </c>
      <c r="AE80" s="242">
        <f t="shared" si="28"/>
        <v>0</v>
      </c>
      <c r="AF80" s="242">
        <f t="shared" si="28"/>
        <v>0</v>
      </c>
      <c r="AG80" s="242">
        <f t="shared" si="28"/>
        <v>0</v>
      </c>
    </row>
    <row r="81" spans="1:33" x14ac:dyDescent="0.2">
      <c r="A81" s="149" t="s">
        <v>579</v>
      </c>
      <c r="B81" s="242">
        <f>'6.2. Паспорт фин осв ввод '!H30*-1*1000000</f>
        <v>-17326238.699999999</v>
      </c>
      <c r="C81" s="242">
        <f>'6.2. Паспорт фин осв ввод '!N30*-1*1000000</f>
        <v>0</v>
      </c>
      <c r="D81" s="242"/>
      <c r="E81" s="242"/>
      <c r="F81" s="242"/>
      <c r="G81" s="242"/>
      <c r="H81" s="242"/>
      <c r="I81" s="242"/>
      <c r="J81" s="242"/>
      <c r="K81" s="242"/>
      <c r="L81" s="242"/>
      <c r="M81" s="242"/>
      <c r="N81" s="242"/>
      <c r="O81" s="242"/>
      <c r="P81" s="242"/>
      <c r="Q81" s="242"/>
      <c r="R81" s="242"/>
      <c r="S81" s="242"/>
      <c r="T81" s="242"/>
      <c r="U81" s="242"/>
      <c r="V81" s="242"/>
      <c r="W81" s="242"/>
      <c r="X81" s="242"/>
      <c r="Y81" s="242"/>
      <c r="Z81" s="242"/>
      <c r="AA81" s="242"/>
      <c r="AB81" s="242"/>
      <c r="AC81" s="242"/>
      <c r="AD81" s="242"/>
      <c r="AE81" s="242"/>
      <c r="AF81" s="242"/>
      <c r="AG81" s="242"/>
    </row>
    <row r="82" spans="1:33" x14ac:dyDescent="0.2">
      <c r="A82" s="149" t="s">
        <v>239</v>
      </c>
      <c r="B82" s="242">
        <f t="shared" ref="B82:AG82" si="29">B54-B55</f>
        <v>0</v>
      </c>
      <c r="C82" s="242">
        <f t="shared" si="29"/>
        <v>0</v>
      </c>
      <c r="D82" s="242">
        <f t="shared" si="29"/>
        <v>0</v>
      </c>
      <c r="E82" s="242">
        <f t="shared" si="29"/>
        <v>0</v>
      </c>
      <c r="F82" s="242">
        <f t="shared" si="29"/>
        <v>0</v>
      </c>
      <c r="G82" s="242">
        <f t="shared" si="29"/>
        <v>0</v>
      </c>
      <c r="H82" s="242">
        <f t="shared" si="29"/>
        <v>0</v>
      </c>
      <c r="I82" s="242">
        <f t="shared" si="29"/>
        <v>0</v>
      </c>
      <c r="J82" s="242">
        <f t="shared" si="29"/>
        <v>0</v>
      </c>
      <c r="K82" s="242">
        <f t="shared" si="29"/>
        <v>0</v>
      </c>
      <c r="L82" s="242">
        <f t="shared" si="29"/>
        <v>0</v>
      </c>
      <c r="M82" s="242">
        <f t="shared" si="29"/>
        <v>0</v>
      </c>
      <c r="N82" s="242">
        <f t="shared" si="29"/>
        <v>0</v>
      </c>
      <c r="O82" s="242">
        <f t="shared" si="29"/>
        <v>0</v>
      </c>
      <c r="P82" s="242">
        <f t="shared" si="29"/>
        <v>0</v>
      </c>
      <c r="Q82" s="242">
        <f t="shared" si="29"/>
        <v>0</v>
      </c>
      <c r="R82" s="242">
        <f t="shared" si="29"/>
        <v>0</v>
      </c>
      <c r="S82" s="242">
        <f t="shared" si="29"/>
        <v>0</v>
      </c>
      <c r="T82" s="242">
        <f t="shared" si="29"/>
        <v>0</v>
      </c>
      <c r="U82" s="242">
        <f t="shared" si="29"/>
        <v>0</v>
      </c>
      <c r="V82" s="242">
        <f t="shared" si="29"/>
        <v>0</v>
      </c>
      <c r="W82" s="242">
        <f t="shared" si="29"/>
        <v>0</v>
      </c>
      <c r="X82" s="242">
        <f t="shared" si="29"/>
        <v>0</v>
      </c>
      <c r="Y82" s="242">
        <f t="shared" si="29"/>
        <v>0</v>
      </c>
      <c r="Z82" s="242">
        <f t="shared" si="29"/>
        <v>0</v>
      </c>
      <c r="AA82" s="242">
        <f t="shared" si="29"/>
        <v>0</v>
      </c>
      <c r="AB82" s="242">
        <f t="shared" si="29"/>
        <v>0</v>
      </c>
      <c r="AC82" s="242">
        <f t="shared" si="29"/>
        <v>0</v>
      </c>
      <c r="AD82" s="242">
        <f t="shared" si="29"/>
        <v>0</v>
      </c>
      <c r="AE82" s="242">
        <f t="shared" si="29"/>
        <v>0</v>
      </c>
      <c r="AF82" s="242">
        <f t="shared" si="29"/>
        <v>0</v>
      </c>
      <c r="AG82" s="242">
        <f t="shared" si="29"/>
        <v>0</v>
      </c>
    </row>
    <row r="83" spans="1:33" ht="14.25" x14ac:dyDescent="0.2">
      <c r="A83" s="150" t="s">
        <v>238</v>
      </c>
      <c r="B83" s="243">
        <f>SUM(B75:B82)</f>
        <v>-17326238.699999999</v>
      </c>
      <c r="C83" s="243">
        <f t="shared" ref="C83:V83" si="30">SUM(C75:C82)</f>
        <v>14152.730417515268</v>
      </c>
      <c r="D83" s="243">
        <f t="shared" si="30"/>
        <v>5587.4377389121801</v>
      </c>
      <c r="E83" s="243">
        <f t="shared" si="30"/>
        <v>6137.1081122591859</v>
      </c>
      <c r="F83" s="243">
        <f t="shared" si="30"/>
        <v>6667.9325867667794</v>
      </c>
      <c r="G83" s="243">
        <f t="shared" si="30"/>
        <v>7241.2329499794869</v>
      </c>
      <c r="H83" s="243">
        <f t="shared" si="30"/>
        <v>-247527.97245039057</v>
      </c>
      <c r="I83" s="243">
        <f t="shared" si="30"/>
        <v>7895.6405049361056</v>
      </c>
      <c r="J83" s="243">
        <f t="shared" si="30"/>
        <v>8244.6987172642257</v>
      </c>
      <c r="K83" s="243">
        <f t="shared" si="30"/>
        <v>8609.1884370829212</v>
      </c>
      <c r="L83" s="243">
        <f t="shared" si="30"/>
        <v>8989.791875596391</v>
      </c>
      <c r="M83" s="243">
        <f t="shared" si="30"/>
        <v>9387.2214038703823</v>
      </c>
      <c r="N83" s="243">
        <f t="shared" si="30"/>
        <v>-307299.18110473978</v>
      </c>
      <c r="O83" s="243">
        <f t="shared" si="30"/>
        <v>9802.220886168885</v>
      </c>
      <c r="P83" s="243">
        <f t="shared" si="30"/>
        <v>10235.567072236212</v>
      </c>
      <c r="Q83" s="243">
        <f t="shared" si="30"/>
        <v>10688.071051130188</v>
      </c>
      <c r="R83" s="243">
        <f t="shared" si="30"/>
        <v>11160.579769328819</v>
      </c>
      <c r="S83" s="243">
        <f t="shared" si="30"/>
        <v>11653.977615949698</v>
      </c>
      <c r="T83" s="243">
        <f t="shared" si="30"/>
        <v>-398369.37579344481</v>
      </c>
      <c r="U83" s="243">
        <f t="shared" si="30"/>
        <v>12707.175469112699</v>
      </c>
      <c r="V83" s="243">
        <f t="shared" si="30"/>
        <v>13268.946733928635</v>
      </c>
      <c r="W83" s="243">
        <f>SUM(W75:W82)</f>
        <v>13855.553333295393</v>
      </c>
      <c r="X83" s="243">
        <f>SUM(X75:X82)</f>
        <v>14468.093212018837</v>
      </c>
      <c r="Y83" s="243">
        <f>SUM(Y75:Y82)</f>
        <v>15107.712853924837</v>
      </c>
      <c r="Z83" s="243">
        <f>SUM(Z75:Z82)</f>
        <v>-516428.83980210882</v>
      </c>
      <c r="AA83" s="243">
        <f t="shared" ref="AA83:AG83" si="31">SUM(AA75:AA82)</f>
        <v>16473.033027715283</v>
      </c>
      <c r="AB83" s="243">
        <f t="shared" si="31"/>
        <v>17201.289013620699</v>
      </c>
      <c r="AC83" s="243">
        <f t="shared" si="31"/>
        <v>17961.740453764331</v>
      </c>
      <c r="AD83" s="243">
        <f t="shared" si="31"/>
        <v>18755.810676335241</v>
      </c>
      <c r="AE83" s="243">
        <f t="shared" si="31"/>
        <v>19584.985933409655</v>
      </c>
      <c r="AF83" s="243">
        <f t="shared" si="31"/>
        <v>-669476.02598256909</v>
      </c>
      <c r="AG83" s="243">
        <f t="shared" si="31"/>
        <v>-720427.8061469394</v>
      </c>
    </row>
    <row r="84" spans="1:33" ht="14.25" x14ac:dyDescent="0.2">
      <c r="A84" s="150" t="s">
        <v>237</v>
      </c>
      <c r="B84" s="243">
        <f>SUM($B$83:B83)</f>
        <v>-17326238.699999999</v>
      </c>
      <c r="C84" s="243">
        <f>SUM($B$83:C83)</f>
        <v>-17312085.969582483</v>
      </c>
      <c r="D84" s="243">
        <f>SUM($B$83:D83)</f>
        <v>-17306498.531843573</v>
      </c>
      <c r="E84" s="243">
        <f>SUM($B$83:E83)</f>
        <v>-17300361.423731312</v>
      </c>
      <c r="F84" s="243">
        <f>SUM($B$83:F83)</f>
        <v>-17293693.491144545</v>
      </c>
      <c r="G84" s="243">
        <f>SUM($B$83:G83)</f>
        <v>-17286452.258194566</v>
      </c>
      <c r="H84" s="243">
        <f>SUM($B$83:H83)</f>
        <v>-17533980.230644956</v>
      </c>
      <c r="I84" s="243">
        <f>SUM($B$83:I83)</f>
        <v>-17526084.590140019</v>
      </c>
      <c r="J84" s="243">
        <f>SUM($B$83:J83)</f>
        <v>-17517839.891422756</v>
      </c>
      <c r="K84" s="243">
        <f>SUM($B$83:K83)</f>
        <v>-17509230.702985674</v>
      </c>
      <c r="L84" s="243">
        <f>SUM($B$83:L83)</f>
        <v>-17500240.911110077</v>
      </c>
      <c r="M84" s="243">
        <f>SUM($B$83:M83)</f>
        <v>-17490853.689706206</v>
      </c>
      <c r="N84" s="243">
        <f>SUM($B$83:N83)</f>
        <v>-17798152.870810945</v>
      </c>
      <c r="O84" s="243">
        <f>SUM($B$83:O83)</f>
        <v>-17788350.649924777</v>
      </c>
      <c r="P84" s="243">
        <f>SUM($B$83:P83)</f>
        <v>-17778115.082852542</v>
      </c>
      <c r="Q84" s="243">
        <f>SUM($B$83:Q83)</f>
        <v>-17767427.01180141</v>
      </c>
      <c r="R84" s="243">
        <f>SUM($B$83:R83)</f>
        <v>-17756266.432032082</v>
      </c>
      <c r="S84" s="243">
        <f>SUM($B$83:S83)</f>
        <v>-17744612.454416133</v>
      </c>
      <c r="T84" s="243">
        <f>SUM($B$83:T83)</f>
        <v>-18142981.830209579</v>
      </c>
      <c r="U84" s="243">
        <f>SUM($B$83:U83)</f>
        <v>-18130274.654740468</v>
      </c>
      <c r="V84" s="243">
        <f>SUM($B$83:V83)</f>
        <v>-18117005.708006538</v>
      </c>
      <c r="W84" s="243">
        <f>SUM($B$83:W83)</f>
        <v>-18103150.154673245</v>
      </c>
      <c r="X84" s="243">
        <f>SUM($B$83:X83)</f>
        <v>-18088682.061461225</v>
      </c>
      <c r="Y84" s="243">
        <f>SUM($B$83:Y83)</f>
        <v>-18073574.348607302</v>
      </c>
      <c r="Z84" s="243">
        <f>SUM($B$83:Z83)</f>
        <v>-18590003.18840941</v>
      </c>
      <c r="AA84" s="243">
        <f>SUM($B$83:AA83)</f>
        <v>-18573530.155381694</v>
      </c>
      <c r="AB84" s="243">
        <f>SUM($B$83:AB83)</f>
        <v>-18556328.866368074</v>
      </c>
      <c r="AC84" s="243">
        <f>SUM($B$83:AC83)</f>
        <v>-18538367.125914309</v>
      </c>
      <c r="AD84" s="243">
        <f>SUM($B$83:AD83)</f>
        <v>-18519611.315237973</v>
      </c>
      <c r="AE84" s="243">
        <f>SUM($B$83:AE83)</f>
        <v>-18500026.329304565</v>
      </c>
      <c r="AF84" s="243">
        <f>SUM($B$83:AF83)</f>
        <v>-19169502.355287135</v>
      </c>
      <c r="AG84" s="243">
        <f>SUM($B$83:AG83)</f>
        <v>-19889930.161434073</v>
      </c>
    </row>
    <row r="85" spans="1:33" x14ac:dyDescent="0.2">
      <c r="A85" s="149" t="s">
        <v>431</v>
      </c>
      <c r="B85" s="244">
        <f t="shared" ref="B85:AG85" si="32">1/POWER((1+$B$44),B73)</f>
        <v>0.93777936065805434</v>
      </c>
      <c r="C85" s="244">
        <f t="shared" si="32"/>
        <v>0.82471142437609202</v>
      </c>
      <c r="D85" s="244">
        <f t="shared" si="32"/>
        <v>0.7252760745546496</v>
      </c>
      <c r="E85" s="244">
        <f t="shared" si="32"/>
        <v>0.63782963200655141</v>
      </c>
      <c r="F85" s="244">
        <f t="shared" si="32"/>
        <v>0.56092659573173109</v>
      </c>
      <c r="G85" s="244">
        <f t="shared" si="32"/>
        <v>0.49329574859883135</v>
      </c>
      <c r="H85" s="244">
        <f t="shared" si="32"/>
        <v>0.43381914396168442</v>
      </c>
      <c r="I85" s="244">
        <f t="shared" si="32"/>
        <v>0.38151362585672716</v>
      </c>
      <c r="J85" s="244">
        <f t="shared" si="32"/>
        <v>0.33551457730782436</v>
      </c>
      <c r="K85" s="244">
        <f t="shared" si="32"/>
        <v>0.29506162809587938</v>
      </c>
      <c r="L85" s="244">
        <f t="shared" si="32"/>
        <v>0.25948608574081378</v>
      </c>
      <c r="M85" s="244">
        <f t="shared" si="32"/>
        <v>0.2281998819284265</v>
      </c>
      <c r="N85" s="244">
        <f t="shared" si="32"/>
        <v>0.20068585166513633</v>
      </c>
      <c r="O85" s="244">
        <f t="shared" si="32"/>
        <v>0.17648918447378092</v>
      </c>
      <c r="P85" s="244">
        <f t="shared" si="32"/>
        <v>0.15520990631763337</v>
      </c>
      <c r="Q85" s="244">
        <f t="shared" si="32"/>
        <v>0.13649626797786774</v>
      </c>
      <c r="R85" s="244">
        <f t="shared" si="32"/>
        <v>0.12003893059349906</v>
      </c>
      <c r="S85" s="244">
        <f t="shared" si="32"/>
        <v>0.10556585225002113</v>
      </c>
      <c r="T85" s="244">
        <f t="shared" si="32"/>
        <v>9.2837791091391383E-2</v>
      </c>
      <c r="U85" s="244">
        <f t="shared" si="32"/>
        <v>8.1644350621221856E-2</v>
      </c>
      <c r="V85" s="244">
        <f t="shared" si="32"/>
        <v>7.1800501821494903E-2</v>
      </c>
      <c r="W85" s="244">
        <f t="shared" si="32"/>
        <v>6.314352459897539E-2</v>
      </c>
      <c r="X85" s="244">
        <f t="shared" si="32"/>
        <v>5.5530318001033675E-2</v>
      </c>
      <c r="Y85" s="244">
        <f t="shared" si="32"/>
        <v>4.8835034738399147E-2</v>
      </c>
      <c r="Z85" s="244">
        <f t="shared" si="32"/>
        <v>4.2947000913199494E-2</v>
      </c>
      <c r="AA85" s="244">
        <f t="shared" si="32"/>
        <v>3.7768886565121354E-2</v>
      </c>
      <c r="AB85" s="244">
        <f t="shared" si="32"/>
        <v>3.3215096794583898E-2</v>
      </c>
      <c r="AC85" s="244">
        <f t="shared" si="32"/>
        <v>2.9210356867983386E-2</v>
      </c>
      <c r="AD85" s="244">
        <f t="shared" si="32"/>
        <v>2.5688467916615415E-2</v>
      </c>
      <c r="AE85" s="244">
        <f t="shared" si="32"/>
        <v>2.2591212660817352E-2</v>
      </c>
      <c r="AF85" s="244">
        <f t="shared" si="32"/>
        <v>1.9867393070809383E-2</v>
      </c>
      <c r="AG85" s="244">
        <f t="shared" si="32"/>
        <v>1.7471984056643557E-2</v>
      </c>
    </row>
    <row r="86" spans="1:33" ht="28.5" x14ac:dyDescent="0.2">
      <c r="A86" s="148" t="s">
        <v>236</v>
      </c>
      <c r="B86" s="243">
        <f>B83*B85</f>
        <v>-16248189.050694838</v>
      </c>
      <c r="C86" s="243">
        <f>C83*C85</f>
        <v>11671.91846143986</v>
      </c>
      <c r="D86" s="243">
        <f t="shared" ref="D86:AG86" si="33">D83*D85</f>
        <v>4052.4349100967329</v>
      </c>
      <c r="E86" s="243">
        <f t="shared" si="33"/>
        <v>3914.4294088266979</v>
      </c>
      <c r="F86" s="243">
        <f t="shared" si="33"/>
        <v>3740.2207264637655</v>
      </c>
      <c r="G86" s="243">
        <f t="shared" si="33"/>
        <v>3572.0694288386549</v>
      </c>
      <c r="H86" s="243">
        <f t="shared" si="33"/>
        <v>-107382.37311499985</v>
      </c>
      <c r="I86" s="243">
        <f t="shared" si="33"/>
        <v>3012.2944374994136</v>
      </c>
      <c r="J86" s="243">
        <f t="shared" si="33"/>
        <v>2766.2166051532686</v>
      </c>
      <c r="K86" s="243">
        <f t="shared" si="33"/>
        <v>2540.2411568299058</v>
      </c>
      <c r="L86" s="243">
        <f t="shared" si="33"/>
        <v>2332.7259054230763</v>
      </c>
      <c r="M86" s="243">
        <f t="shared" si="33"/>
        <v>2142.1628159992192</v>
      </c>
      <c r="N86" s="243">
        <f t="shared" si="33"/>
        <v>-61670.597876003674</v>
      </c>
      <c r="O86" s="243">
        <f t="shared" si="33"/>
        <v>1729.9859702318088</v>
      </c>
      <c r="P86" s="243">
        <f t="shared" si="33"/>
        <v>1588.6614063896354</v>
      </c>
      <c r="Q86" s="243">
        <f t="shared" si="33"/>
        <v>1458.8818103615565</v>
      </c>
      <c r="R86" s="243">
        <f t="shared" si="33"/>
        <v>1339.7040603136718</v>
      </c>
      <c r="S86" s="243">
        <f t="shared" si="33"/>
        <v>1230.2620791303993</v>
      </c>
      <c r="T86" s="243">
        <f t="shared" si="33"/>
        <v>-36983.732887119819</v>
      </c>
      <c r="U86" s="243">
        <f t="shared" si="33"/>
        <v>1037.4690894056266</v>
      </c>
      <c r="V86" s="243">
        <f t="shared" si="33"/>
        <v>952.71703413876173</v>
      </c>
      <c r="W86" s="243">
        <f t="shared" si="33"/>
        <v>874.88847273335307</v>
      </c>
      <c r="X86" s="243">
        <f t="shared" si="33"/>
        <v>803.41781693200278</v>
      </c>
      <c r="Y86" s="243">
        <f t="shared" si="33"/>
        <v>737.78568203917871</v>
      </c>
      <c r="Z86" s="243">
        <f t="shared" si="33"/>
        <v>-22179.069854583722</v>
      </c>
      <c r="AA86" s="243">
        <f t="shared" si="33"/>
        <v>622.16811580727608</v>
      </c>
      <c r="AB86" s="243">
        <f t="shared" si="33"/>
        <v>571.34247957902414</v>
      </c>
      <c r="AC86" s="243">
        <f t="shared" si="33"/>
        <v>524.66884862454992</v>
      </c>
      <c r="AD86" s="243">
        <f t="shared" si="33"/>
        <v>481.80804080915073</v>
      </c>
      <c r="AE86" s="243">
        <f t="shared" si="33"/>
        <v>442.44858218077394</v>
      </c>
      <c r="AF86" s="243">
        <f t="shared" si="33"/>
        <v>-13300.743359679096</v>
      </c>
      <c r="AG86" s="243">
        <f t="shared" si="33"/>
        <v>-12587.303142962021</v>
      </c>
    </row>
    <row r="87" spans="1:33" ht="14.25" x14ac:dyDescent="0.2">
      <c r="A87" s="148" t="s">
        <v>235</v>
      </c>
      <c r="B87" s="243">
        <f>SUM($B$86:B86)</f>
        <v>-16248189.050694838</v>
      </c>
      <c r="C87" s="243">
        <f>SUM($B$86:C86)</f>
        <v>-16236517.132233398</v>
      </c>
      <c r="D87" s="243">
        <f>SUM($B$86:D86)</f>
        <v>-16232464.697323302</v>
      </c>
      <c r="E87" s="243">
        <f>SUM($B$86:E86)</f>
        <v>-16228550.267914476</v>
      </c>
      <c r="F87" s="243">
        <f>SUM($B$86:F86)</f>
        <v>-16224810.047188012</v>
      </c>
      <c r="G87" s="243">
        <f>SUM($B$86:G86)</f>
        <v>-16221237.977759173</v>
      </c>
      <c r="H87" s="243">
        <f>SUM($B$86:H86)</f>
        <v>-16328620.350874173</v>
      </c>
      <c r="I87" s="243">
        <f>SUM($B$86:I86)</f>
        <v>-16325608.056436673</v>
      </c>
      <c r="J87" s="243">
        <f>SUM($B$86:J86)</f>
        <v>-16322841.83983152</v>
      </c>
      <c r="K87" s="243">
        <f>SUM($B$86:K86)</f>
        <v>-16320301.59867469</v>
      </c>
      <c r="L87" s="243">
        <f>SUM($B$86:L86)</f>
        <v>-16317968.872769266</v>
      </c>
      <c r="M87" s="243">
        <f>SUM($B$86:M86)</f>
        <v>-16315826.709953267</v>
      </c>
      <c r="N87" s="243">
        <f>SUM($B$86:N86)</f>
        <v>-16377497.30782927</v>
      </c>
      <c r="O87" s="243">
        <f>SUM($B$86:O86)</f>
        <v>-16375767.321859038</v>
      </c>
      <c r="P87" s="243">
        <f>SUM($B$86:P86)</f>
        <v>-16374178.660452647</v>
      </c>
      <c r="Q87" s="243">
        <f>SUM($B$86:Q86)</f>
        <v>-16372719.778642286</v>
      </c>
      <c r="R87" s="243">
        <f>SUM($B$86:R86)</f>
        <v>-16371380.074581971</v>
      </c>
      <c r="S87" s="243">
        <f>SUM($B$86:S86)</f>
        <v>-16370149.812502841</v>
      </c>
      <c r="T87" s="243">
        <f>SUM($B$86:T86)</f>
        <v>-16407133.54538996</v>
      </c>
      <c r="U87" s="243">
        <f>SUM($B$86:U86)</f>
        <v>-16406096.076300554</v>
      </c>
      <c r="V87" s="243">
        <f>SUM($B$86:V86)</f>
        <v>-16405143.359266415</v>
      </c>
      <c r="W87" s="243">
        <f>SUM($B$86:W86)</f>
        <v>-16404268.470793681</v>
      </c>
      <c r="X87" s="243">
        <f>SUM($B$86:X86)</f>
        <v>-16403465.05297675</v>
      </c>
      <c r="Y87" s="243">
        <f>SUM($B$86:Y86)</f>
        <v>-16402727.267294711</v>
      </c>
      <c r="Z87" s="243">
        <f>SUM($B$86:Z86)</f>
        <v>-16424906.337149294</v>
      </c>
      <c r="AA87" s="243">
        <f>SUM($B$86:AA86)</f>
        <v>-16424284.169033486</v>
      </c>
      <c r="AB87" s="243">
        <f>SUM($B$86:AB86)</f>
        <v>-16423712.826553907</v>
      </c>
      <c r="AC87" s="243">
        <f>SUM($B$86:AC86)</f>
        <v>-16423188.157705283</v>
      </c>
      <c r="AD87" s="243">
        <f>SUM($B$86:AD86)</f>
        <v>-16422706.349664474</v>
      </c>
      <c r="AE87" s="243">
        <f>SUM($B$86:AE86)</f>
        <v>-16422263.901082294</v>
      </c>
      <c r="AF87" s="243">
        <f>SUM($B$86:AF86)</f>
        <v>-16435564.644441973</v>
      </c>
      <c r="AG87" s="243">
        <f>SUM($B$86:AG86)</f>
        <v>-16448151.947584935</v>
      </c>
    </row>
    <row r="88" spans="1:33" ht="14.25" x14ac:dyDescent="0.2">
      <c r="A88" s="148" t="s">
        <v>234</v>
      </c>
      <c r="B88" s="245">
        <f>IF((ISERR(IRR($B$83:B83))),0,IF(IRR($B$83:B83)&lt;0,0,IRR($B$83:B83)))</f>
        <v>0</v>
      </c>
      <c r="C88" s="245">
        <f>IF((ISERR(IRR($B$83:C83))),0,IF(IRR($B$83:C83)&lt;0,0,IRR($B$83:C83)))</f>
        <v>0</v>
      </c>
      <c r="D88" s="245">
        <f>IF((ISERR(IRR($B$83:D83))),0,IF(IRR($B$83:D83)&lt;0,0,IRR($B$83:D83)))</f>
        <v>0</v>
      </c>
      <c r="E88" s="245">
        <f>IF((ISERR(IRR($B$83:E83))),0,IF(IRR($B$83:E83)&lt;0,0,IRR($B$83:E83)))</f>
        <v>0</v>
      </c>
      <c r="F88" s="245">
        <f>IF((ISERR(IRR($B$83:F83))),0,IF(IRR($B$83:F83)&lt;0,0,IRR($B$83:F83)))</f>
        <v>0</v>
      </c>
      <c r="G88" s="245">
        <f>IF((ISERR(IRR($B$83:G83))),0,IF(IRR($B$83:G83)&lt;0,0,IRR($B$83:G83)))</f>
        <v>0</v>
      </c>
      <c r="H88" s="245">
        <f>IF((ISERR(IRR($B$83:H83))),0,IF(IRR($B$83:H83)&lt;0,0,IRR($B$83:H83)))</f>
        <v>0</v>
      </c>
      <c r="I88" s="245">
        <f>IF((ISERR(IRR($B$83:I83))),0,IF(IRR($B$83:I83)&lt;0,0,IRR($B$83:I83)))</f>
        <v>0</v>
      </c>
      <c r="J88" s="245">
        <f>IF((ISERR(IRR($B$83:J83))),0,IF(IRR($B$83:J83)&lt;0,0,IRR($B$83:J83)))</f>
        <v>0</v>
      </c>
      <c r="K88" s="245">
        <f>IF((ISERR(IRR($B$83:K83))),0,IF(IRR($B$83:K83)&lt;0,0,IRR($B$83:K83)))</f>
        <v>0</v>
      </c>
      <c r="L88" s="245">
        <f>IF((ISERR(IRR($B$83:L83))),0,IF(IRR($B$83:L83)&lt;0,0,IRR($B$83:L83)))</f>
        <v>0</v>
      </c>
      <c r="M88" s="245">
        <f>IF((ISERR(IRR($B$83:M83))),0,IF(IRR($B$83:M83)&lt;0,0,IRR($B$83:M83)))</f>
        <v>0</v>
      </c>
      <c r="N88" s="245">
        <f>IF((ISERR(IRR($B$83:N83))),0,IF(IRR($B$83:N83)&lt;0,0,IRR($B$83:N83)))</f>
        <v>0</v>
      </c>
      <c r="O88" s="245">
        <f>IF((ISERR(IRR($B$83:O83))),0,IF(IRR($B$83:O83)&lt;0,0,IRR($B$83:O83)))</f>
        <v>0</v>
      </c>
      <c r="P88" s="245">
        <f>IF((ISERR(IRR($B$83:P83))),0,IF(IRR($B$83:P83)&lt;0,0,IRR($B$83:P83)))</f>
        <v>0</v>
      </c>
      <c r="Q88" s="245">
        <f>IF((ISERR(IRR($B$83:Q83))),0,IF(IRR($B$83:Q83)&lt;0,0,IRR($B$83:Q83)))</f>
        <v>0</v>
      </c>
      <c r="R88" s="245">
        <f>IF((ISERR(IRR($B$83:R83))),0,IF(IRR($B$83:R83)&lt;0,0,IRR($B$83:R83)))</f>
        <v>0</v>
      </c>
      <c r="S88" s="245">
        <f>IF((ISERR(IRR($B$83:S83))),0,IF(IRR($B$83:S83)&lt;0,0,IRR($B$83:S83)))</f>
        <v>0</v>
      </c>
      <c r="T88" s="245">
        <f>IF((ISERR(IRR($B$83:T83))),0,IF(IRR($B$83:T83)&lt;0,0,IRR($B$83:T83)))</f>
        <v>0</v>
      </c>
      <c r="U88" s="245">
        <f>IF((ISERR(IRR($B$83:U83))),0,IF(IRR($B$83:U83)&lt;0,0,IRR($B$83:U83)))</f>
        <v>0</v>
      </c>
      <c r="V88" s="245">
        <f>IF((ISERR(IRR($B$83:V83))),0,IF(IRR($B$83:V83)&lt;0,0,IRR($B$83:V83)))</f>
        <v>0</v>
      </c>
      <c r="W88" s="245">
        <f>IF((ISERR(IRR($B$83:W83))),0,IF(IRR($B$83:W83)&lt;0,0,IRR($B$83:W83)))</f>
        <v>0</v>
      </c>
      <c r="X88" s="245">
        <f>IF((ISERR(IRR($B$83:X83))),0,IF(IRR($B$83:X83)&lt;0,0,IRR($B$83:X83)))</f>
        <v>0</v>
      </c>
      <c r="Y88" s="245">
        <f>IF((ISERR(IRR($B$83:Y83))),0,IF(IRR($B$83:Y83)&lt;0,0,IRR($B$83:Y83)))</f>
        <v>0</v>
      </c>
      <c r="Z88" s="245">
        <f>IF((ISERR(IRR($B$83:Z83))),0,IF(IRR($B$83:Z83)&lt;0,0,IRR($B$83:Z83)))</f>
        <v>0</v>
      </c>
      <c r="AA88" s="245">
        <f>IF((ISERR(IRR($B$83:AA83))),0,IF(IRR($B$83:AA83)&lt;0,0,IRR($B$83:AA83)))</f>
        <v>0</v>
      </c>
      <c r="AB88" s="245">
        <f>IF((ISERR(IRR($B$83:AB83))),0,IF(IRR($B$83:AB83)&lt;0,0,IRR($B$83:AB83)))</f>
        <v>0</v>
      </c>
      <c r="AC88" s="245">
        <f>IF((ISERR(IRR($B$83:AC83))),0,IF(IRR($B$83:AC83)&lt;0,0,IRR($B$83:AC83)))</f>
        <v>0</v>
      </c>
      <c r="AD88" s="245">
        <f>IF((ISERR(IRR($B$83:AD83))),0,IF(IRR($B$83:AD83)&lt;0,0,IRR($B$83:AD83)))</f>
        <v>0</v>
      </c>
      <c r="AE88" s="245">
        <f>IF((ISERR(IRR($B$83:AE83))),0,IF(IRR($B$83:AE83)&lt;0,0,IRR($B$83:AE83)))</f>
        <v>0</v>
      </c>
      <c r="AF88" s="245">
        <f>IF((ISERR(IRR($B$83:AF83))),0,IF(IRR($B$83:AF83)&lt;0,0,IRR($B$83:AF83)))</f>
        <v>0</v>
      </c>
      <c r="AG88" s="245">
        <f>IF((ISERR(IRR($B$83:AG83))),0,IF(IRR($B$83:AG83)&lt;0,0,IRR($B$83:AG83)))</f>
        <v>0</v>
      </c>
    </row>
    <row r="89" spans="1:33" ht="14.25" x14ac:dyDescent="0.2">
      <c r="A89" s="148" t="s">
        <v>233</v>
      </c>
      <c r="B89" s="246">
        <f>IF(AND(B84&gt;0,A84&lt;0),(B74-(B84/(B84-A84))),0)</f>
        <v>0</v>
      </c>
      <c r="C89" s="246">
        <f t="shared" ref="C89:AG89" si="34">IF(AND(C84&gt;0,B84&lt;0),(C74-(C84/(C84-B84))),0)</f>
        <v>0</v>
      </c>
      <c r="D89" s="246">
        <f t="shared" si="34"/>
        <v>0</v>
      </c>
      <c r="E89" s="246">
        <f t="shared" si="34"/>
        <v>0</v>
      </c>
      <c r="F89" s="246">
        <f t="shared" si="34"/>
        <v>0</v>
      </c>
      <c r="G89" s="246">
        <f t="shared" si="34"/>
        <v>0</v>
      </c>
      <c r="H89" s="246">
        <f>IF(AND(H84&gt;0,G84&lt;0),(H74-(H84/(H84-G84))),0)</f>
        <v>0</v>
      </c>
      <c r="I89" s="246">
        <f t="shared" si="34"/>
        <v>0</v>
      </c>
      <c r="J89" s="246">
        <f t="shared" si="34"/>
        <v>0</v>
      </c>
      <c r="K89" s="246">
        <f t="shared" si="34"/>
        <v>0</v>
      </c>
      <c r="L89" s="246">
        <f t="shared" si="34"/>
        <v>0</v>
      </c>
      <c r="M89" s="246">
        <f t="shared" si="34"/>
        <v>0</v>
      </c>
      <c r="N89" s="246">
        <f t="shared" si="34"/>
        <v>0</v>
      </c>
      <c r="O89" s="246">
        <f t="shared" si="34"/>
        <v>0</v>
      </c>
      <c r="P89" s="246">
        <f t="shared" si="34"/>
        <v>0</v>
      </c>
      <c r="Q89" s="246">
        <f t="shared" si="34"/>
        <v>0</v>
      </c>
      <c r="R89" s="246">
        <f t="shared" si="34"/>
        <v>0</v>
      </c>
      <c r="S89" s="246">
        <f t="shared" si="34"/>
        <v>0</v>
      </c>
      <c r="T89" s="246">
        <f t="shared" si="34"/>
        <v>0</v>
      </c>
      <c r="U89" s="246">
        <f t="shared" si="34"/>
        <v>0</v>
      </c>
      <c r="V89" s="246">
        <f t="shared" si="34"/>
        <v>0</v>
      </c>
      <c r="W89" s="246">
        <f t="shared" si="34"/>
        <v>0</v>
      </c>
      <c r="X89" s="246">
        <f t="shared" si="34"/>
        <v>0</v>
      </c>
      <c r="Y89" s="246">
        <f t="shared" si="34"/>
        <v>0</v>
      </c>
      <c r="Z89" s="246">
        <f t="shared" si="34"/>
        <v>0</v>
      </c>
      <c r="AA89" s="246">
        <f t="shared" si="34"/>
        <v>0</v>
      </c>
      <c r="AB89" s="246">
        <f t="shared" si="34"/>
        <v>0</v>
      </c>
      <c r="AC89" s="246">
        <f t="shared" si="34"/>
        <v>0</v>
      </c>
      <c r="AD89" s="246">
        <f t="shared" si="34"/>
        <v>0</v>
      </c>
      <c r="AE89" s="246">
        <f t="shared" si="34"/>
        <v>0</v>
      </c>
      <c r="AF89" s="246">
        <f t="shared" si="34"/>
        <v>0</v>
      </c>
      <c r="AG89" s="246">
        <f t="shared" si="34"/>
        <v>0</v>
      </c>
    </row>
    <row r="90" spans="1:33" ht="15" thickBot="1" x14ac:dyDescent="0.25">
      <c r="A90" s="154" t="s">
        <v>232</v>
      </c>
      <c r="B90" s="155">
        <f t="shared" ref="B90:AG90" si="35">IF(AND(B87&gt;0,A87&lt;0),(B74-(B87/(B87-A87))),0)</f>
        <v>0</v>
      </c>
      <c r="C90" s="155">
        <f t="shared" si="35"/>
        <v>0</v>
      </c>
      <c r="D90" s="155">
        <f t="shared" si="35"/>
        <v>0</v>
      </c>
      <c r="E90" s="155">
        <f t="shared" si="35"/>
        <v>0</v>
      </c>
      <c r="F90" s="155">
        <f t="shared" si="35"/>
        <v>0</v>
      </c>
      <c r="G90" s="155">
        <f t="shared" si="35"/>
        <v>0</v>
      </c>
      <c r="H90" s="155">
        <f t="shared" si="35"/>
        <v>0</v>
      </c>
      <c r="I90" s="155">
        <f t="shared" si="35"/>
        <v>0</v>
      </c>
      <c r="J90" s="155">
        <f t="shared" si="35"/>
        <v>0</v>
      </c>
      <c r="K90" s="155">
        <f t="shared" si="35"/>
        <v>0</v>
      </c>
      <c r="L90" s="155">
        <f t="shared" si="35"/>
        <v>0</v>
      </c>
      <c r="M90" s="155">
        <f t="shared" si="35"/>
        <v>0</v>
      </c>
      <c r="N90" s="155">
        <f t="shared" si="35"/>
        <v>0</v>
      </c>
      <c r="O90" s="155">
        <f t="shared" si="35"/>
        <v>0</v>
      </c>
      <c r="P90" s="155">
        <f t="shared" si="35"/>
        <v>0</v>
      </c>
      <c r="Q90" s="155">
        <f t="shared" si="35"/>
        <v>0</v>
      </c>
      <c r="R90" s="155">
        <f t="shared" si="35"/>
        <v>0</v>
      </c>
      <c r="S90" s="155">
        <f t="shared" si="35"/>
        <v>0</v>
      </c>
      <c r="T90" s="155">
        <f t="shared" si="35"/>
        <v>0</v>
      </c>
      <c r="U90" s="155">
        <f t="shared" si="35"/>
        <v>0</v>
      </c>
      <c r="V90" s="155">
        <f t="shared" si="35"/>
        <v>0</v>
      </c>
      <c r="W90" s="155">
        <f t="shared" si="35"/>
        <v>0</v>
      </c>
      <c r="X90" s="155">
        <f t="shared" si="35"/>
        <v>0</v>
      </c>
      <c r="Y90" s="155">
        <f t="shared" si="35"/>
        <v>0</v>
      </c>
      <c r="Z90" s="155">
        <f t="shared" si="35"/>
        <v>0</v>
      </c>
      <c r="AA90" s="155">
        <f t="shared" si="35"/>
        <v>0</v>
      </c>
      <c r="AB90" s="155">
        <f t="shared" si="35"/>
        <v>0</v>
      </c>
      <c r="AC90" s="155">
        <f t="shared" si="35"/>
        <v>0</v>
      </c>
      <c r="AD90" s="155">
        <f t="shared" si="35"/>
        <v>0</v>
      </c>
      <c r="AE90" s="155">
        <f t="shared" si="35"/>
        <v>0</v>
      </c>
      <c r="AF90" s="155">
        <f t="shared" si="35"/>
        <v>0</v>
      </c>
      <c r="AG90" s="155">
        <f t="shared" si="35"/>
        <v>0</v>
      </c>
    </row>
    <row r="91" spans="1:33" s="136" customFormat="1" x14ac:dyDescent="0.2">
      <c r="A91" s="110"/>
      <c r="B91" s="156">
        <v>2024</v>
      </c>
      <c r="C91" s="156">
        <f>B91+1</f>
        <v>2025</v>
      </c>
      <c r="D91" s="105">
        <f t="shared" ref="D91:AG91" si="36">C91+1</f>
        <v>2026</v>
      </c>
      <c r="E91" s="105">
        <f t="shared" si="36"/>
        <v>2027</v>
      </c>
      <c r="F91" s="105">
        <f t="shared" si="36"/>
        <v>2028</v>
      </c>
      <c r="G91" s="105">
        <f t="shared" si="36"/>
        <v>2029</v>
      </c>
      <c r="H91" s="105">
        <f t="shared" si="36"/>
        <v>2030</v>
      </c>
      <c r="I91" s="105">
        <f t="shared" si="36"/>
        <v>2031</v>
      </c>
      <c r="J91" s="105">
        <f t="shared" si="36"/>
        <v>2032</v>
      </c>
      <c r="K91" s="105">
        <f t="shared" si="36"/>
        <v>2033</v>
      </c>
      <c r="L91" s="105">
        <f t="shared" si="36"/>
        <v>2034</v>
      </c>
      <c r="M91" s="105">
        <f t="shared" si="36"/>
        <v>2035</v>
      </c>
      <c r="N91" s="105">
        <f t="shared" si="36"/>
        <v>2036</v>
      </c>
      <c r="O91" s="105">
        <f t="shared" si="36"/>
        <v>2037</v>
      </c>
      <c r="P91" s="105">
        <f t="shared" si="36"/>
        <v>2038</v>
      </c>
      <c r="Q91" s="105">
        <f t="shared" si="36"/>
        <v>2039</v>
      </c>
      <c r="R91" s="105">
        <f t="shared" si="36"/>
        <v>2040</v>
      </c>
      <c r="S91" s="105">
        <f t="shared" si="36"/>
        <v>2041</v>
      </c>
      <c r="T91" s="105">
        <f t="shared" si="36"/>
        <v>2042</v>
      </c>
      <c r="U91" s="105">
        <f t="shared" si="36"/>
        <v>2043</v>
      </c>
      <c r="V91" s="105">
        <f t="shared" si="36"/>
        <v>2044</v>
      </c>
      <c r="W91" s="105">
        <f t="shared" si="36"/>
        <v>2045</v>
      </c>
      <c r="X91" s="105">
        <f t="shared" si="36"/>
        <v>2046</v>
      </c>
      <c r="Y91" s="105">
        <f t="shared" si="36"/>
        <v>2047</v>
      </c>
      <c r="Z91" s="105">
        <f t="shared" si="36"/>
        <v>2048</v>
      </c>
      <c r="AA91" s="105">
        <f t="shared" si="36"/>
        <v>2049</v>
      </c>
      <c r="AB91" s="105">
        <f t="shared" si="36"/>
        <v>2050</v>
      </c>
      <c r="AC91" s="105">
        <f t="shared" si="36"/>
        <v>2051</v>
      </c>
      <c r="AD91" s="105">
        <f t="shared" si="36"/>
        <v>2052</v>
      </c>
      <c r="AE91" s="105">
        <f t="shared" si="36"/>
        <v>2053</v>
      </c>
      <c r="AF91" s="105">
        <f t="shared" si="36"/>
        <v>2054</v>
      </c>
      <c r="AG91" s="105">
        <f t="shared" si="36"/>
        <v>2055</v>
      </c>
    </row>
    <row r="92" spans="1:33" ht="15.6" customHeight="1" x14ac:dyDescent="0.2">
      <c r="A92" s="157" t="s">
        <v>231</v>
      </c>
      <c r="B92" s="73"/>
      <c r="C92" s="73"/>
      <c r="D92" s="73"/>
      <c r="E92" s="73"/>
      <c r="F92" s="73"/>
      <c r="G92" s="73"/>
      <c r="H92" s="73"/>
      <c r="I92" s="73"/>
      <c r="J92" s="73"/>
      <c r="K92" s="73"/>
      <c r="L92" s="158">
        <v>10</v>
      </c>
      <c r="M92" s="73">
        <v>10</v>
      </c>
      <c r="N92" s="73"/>
      <c r="O92" s="73"/>
      <c r="P92" s="73"/>
      <c r="Q92" s="73"/>
      <c r="R92" s="73"/>
      <c r="S92" s="73"/>
      <c r="T92" s="73"/>
      <c r="U92" s="73"/>
      <c r="V92" s="73"/>
      <c r="W92" s="73"/>
      <c r="X92" s="73"/>
      <c r="Y92" s="73"/>
      <c r="Z92" s="73"/>
      <c r="AA92" s="73"/>
      <c r="AB92" s="73"/>
      <c r="AC92" s="73"/>
      <c r="AD92" s="73"/>
      <c r="AE92" s="73"/>
      <c r="AF92" s="73"/>
      <c r="AG92" s="73">
        <v>30</v>
      </c>
    </row>
    <row r="93" spans="1:33" ht="12.75" x14ac:dyDescent="0.2">
      <c r="A93" s="74" t="s">
        <v>230</v>
      </c>
      <c r="B93" s="74"/>
      <c r="C93" s="74"/>
      <c r="D93" s="74"/>
      <c r="E93" s="74"/>
      <c r="F93" s="74"/>
      <c r="G93" s="74"/>
      <c r="H93" s="74"/>
      <c r="I93" s="74"/>
      <c r="J93" s="74"/>
      <c r="K93" s="74"/>
      <c r="L93" s="74"/>
      <c r="M93" s="74"/>
      <c r="N93" s="74"/>
      <c r="O93" s="74"/>
      <c r="P93" s="74"/>
      <c r="Q93" s="74"/>
      <c r="R93" s="74"/>
      <c r="S93" s="74"/>
      <c r="T93" s="74"/>
      <c r="U93" s="74"/>
      <c r="V93" s="74"/>
      <c r="W93" s="74"/>
      <c r="X93" s="74"/>
      <c r="Y93" s="74"/>
      <c r="Z93" s="74"/>
      <c r="AA93" s="74"/>
      <c r="AB93" s="74"/>
      <c r="AC93" s="74"/>
      <c r="AD93" s="74"/>
      <c r="AE93" s="74"/>
      <c r="AF93" s="74"/>
      <c r="AG93" s="74"/>
    </row>
    <row r="94" spans="1:33" ht="12.75" x14ac:dyDescent="0.2">
      <c r="A94" s="74" t="s">
        <v>229</v>
      </c>
      <c r="B94" s="74"/>
      <c r="C94" s="74"/>
      <c r="D94" s="74"/>
      <c r="E94" s="74"/>
      <c r="F94" s="74"/>
      <c r="G94" s="74"/>
      <c r="H94" s="74"/>
      <c r="I94" s="74"/>
      <c r="J94" s="74"/>
      <c r="K94" s="74"/>
      <c r="L94" s="74"/>
      <c r="M94" s="74"/>
      <c r="N94" s="74"/>
      <c r="O94" s="74"/>
      <c r="P94" s="74"/>
      <c r="Q94" s="74"/>
      <c r="R94" s="74"/>
      <c r="S94" s="74"/>
      <c r="T94" s="74"/>
      <c r="U94" s="74"/>
      <c r="V94" s="74"/>
      <c r="W94" s="74"/>
      <c r="X94" s="74"/>
      <c r="Y94" s="74"/>
      <c r="Z94" s="74"/>
      <c r="AA94" s="74"/>
      <c r="AB94" s="74"/>
      <c r="AC94" s="74"/>
      <c r="AD94" s="74"/>
      <c r="AE94" s="74"/>
      <c r="AF94" s="74"/>
      <c r="AG94" s="74"/>
    </row>
    <row r="95" spans="1:33" ht="12.75" x14ac:dyDescent="0.2">
      <c r="A95" s="74" t="s">
        <v>228</v>
      </c>
      <c r="B95" s="74"/>
      <c r="C95" s="74"/>
      <c r="D95" s="74"/>
      <c r="E95" s="74"/>
      <c r="F95" s="74"/>
      <c r="G95" s="74"/>
      <c r="H95" s="74"/>
      <c r="I95" s="74"/>
      <c r="J95" s="74"/>
      <c r="K95" s="74"/>
      <c r="L95" s="74"/>
      <c r="M95" s="74"/>
      <c r="N95" s="74"/>
      <c r="O95" s="74"/>
      <c r="P95" s="74"/>
      <c r="Q95" s="74"/>
      <c r="R95" s="74"/>
      <c r="S95" s="74"/>
      <c r="T95" s="74"/>
      <c r="U95" s="74"/>
      <c r="V95" s="74"/>
      <c r="W95" s="74"/>
      <c r="X95" s="74"/>
      <c r="Y95" s="74"/>
      <c r="Z95" s="74"/>
      <c r="AA95" s="74"/>
      <c r="AB95" s="74"/>
      <c r="AC95" s="74"/>
      <c r="AD95" s="74"/>
      <c r="AE95" s="74"/>
      <c r="AF95" s="74"/>
      <c r="AG95" s="74"/>
    </row>
    <row r="96" spans="1:33" ht="12.75" x14ac:dyDescent="0.2">
      <c r="A96" s="75" t="s">
        <v>227</v>
      </c>
      <c r="B96" s="73"/>
      <c r="C96" s="73"/>
      <c r="D96" s="73"/>
      <c r="E96" s="73"/>
      <c r="F96" s="73"/>
      <c r="G96" s="73"/>
      <c r="H96" s="73"/>
      <c r="I96" s="73"/>
      <c r="J96" s="73"/>
      <c r="K96" s="73"/>
      <c r="L96" s="73"/>
      <c r="M96" s="73"/>
      <c r="N96" s="73"/>
      <c r="O96" s="73"/>
      <c r="P96" s="73"/>
      <c r="Q96" s="73"/>
      <c r="R96" s="73"/>
      <c r="S96" s="73"/>
      <c r="T96" s="73"/>
      <c r="U96" s="73"/>
      <c r="V96" s="73"/>
      <c r="W96" s="73"/>
      <c r="X96" s="73"/>
      <c r="Y96" s="73"/>
      <c r="Z96" s="73"/>
      <c r="AA96" s="73"/>
      <c r="AB96" s="73"/>
      <c r="AC96" s="73"/>
      <c r="AD96" s="73"/>
      <c r="AE96" s="73"/>
      <c r="AF96" s="73"/>
      <c r="AG96" s="73"/>
    </row>
    <row r="97" spans="1:49" ht="33" customHeight="1" x14ac:dyDescent="0.2">
      <c r="A97" s="501" t="s">
        <v>432</v>
      </c>
      <c r="B97" s="501"/>
      <c r="C97" s="501"/>
      <c r="D97" s="501"/>
      <c r="E97" s="501"/>
      <c r="F97" s="501"/>
      <c r="G97" s="501"/>
      <c r="H97" s="501"/>
      <c r="I97" s="501"/>
      <c r="J97" s="501"/>
      <c r="K97" s="501"/>
      <c r="L97" s="501"/>
      <c r="M97" s="151"/>
      <c r="N97" s="151"/>
      <c r="O97" s="151"/>
      <c r="P97" s="151"/>
      <c r="Q97" s="151"/>
      <c r="R97" s="151"/>
      <c r="S97" s="151"/>
      <c r="T97" s="151"/>
      <c r="U97" s="151"/>
      <c r="V97" s="151"/>
      <c r="W97" s="151"/>
      <c r="X97" s="151"/>
      <c r="Y97" s="151"/>
      <c r="Z97" s="151"/>
      <c r="AA97" s="151"/>
      <c r="AB97" s="151"/>
      <c r="AC97" s="151"/>
      <c r="AD97" s="151"/>
      <c r="AE97" s="151"/>
      <c r="AF97" s="151"/>
      <c r="AG97" s="151"/>
    </row>
    <row r="98" spans="1:49" hidden="1" x14ac:dyDescent="0.2">
      <c r="C98" s="159"/>
    </row>
    <row r="99" spans="1:49" ht="12.75" hidden="1" x14ac:dyDescent="0.2">
      <c r="A99" s="163"/>
      <c r="B99" s="161"/>
      <c r="C99" s="161"/>
      <c r="D99" s="161"/>
      <c r="E99" s="161"/>
      <c r="F99" s="161"/>
      <c r="G99" s="161"/>
      <c r="H99" s="161"/>
      <c r="I99" s="161"/>
      <c r="J99" s="161"/>
      <c r="K99" s="161"/>
      <c r="L99" s="161"/>
      <c r="M99" s="161"/>
      <c r="N99" s="161"/>
      <c r="O99" s="161"/>
      <c r="P99" s="161"/>
      <c r="Q99" s="161"/>
      <c r="R99" s="161"/>
      <c r="S99" s="161"/>
      <c r="T99" s="161"/>
      <c r="U99" s="161"/>
      <c r="V99" s="161"/>
      <c r="W99" s="161"/>
      <c r="X99" s="161"/>
      <c r="Y99" s="161"/>
      <c r="Z99" s="161"/>
      <c r="AA99" s="161"/>
      <c r="AB99" s="161"/>
      <c r="AC99" s="161"/>
      <c r="AD99" s="161"/>
      <c r="AE99" s="161"/>
      <c r="AF99" s="161"/>
      <c r="AG99" s="161"/>
      <c r="AH99" s="161"/>
      <c r="AI99" s="161"/>
      <c r="AJ99" s="161"/>
      <c r="AK99" s="161"/>
      <c r="AL99" s="161"/>
      <c r="AM99" s="161"/>
      <c r="AN99" s="161"/>
      <c r="AO99" s="161"/>
      <c r="AP99" s="161"/>
      <c r="AQ99" s="161"/>
      <c r="AR99" s="161"/>
      <c r="AS99" s="161"/>
      <c r="AT99" s="161"/>
      <c r="AU99" s="161"/>
      <c r="AV99" s="161"/>
      <c r="AW99" s="161"/>
    </row>
    <row r="100" spans="1:49" ht="12.75" hidden="1" x14ac:dyDescent="0.2">
      <c r="A100" s="247"/>
      <c r="B100" s="248">
        <v>2023</v>
      </c>
      <c r="C100" s="248">
        <v>2024</v>
      </c>
      <c r="D100" s="389">
        <f t="shared" ref="D100:AG100" si="37">C100+1</f>
        <v>2025</v>
      </c>
      <c r="E100" s="249">
        <f t="shared" si="37"/>
        <v>2026</v>
      </c>
      <c r="F100" s="249">
        <f t="shared" si="37"/>
        <v>2027</v>
      </c>
      <c r="G100" s="249">
        <f t="shared" si="37"/>
        <v>2028</v>
      </c>
      <c r="H100" s="249">
        <f t="shared" si="37"/>
        <v>2029</v>
      </c>
      <c r="I100" s="249">
        <f t="shared" si="37"/>
        <v>2030</v>
      </c>
      <c r="J100" s="249">
        <f t="shared" si="37"/>
        <v>2031</v>
      </c>
      <c r="K100" s="249">
        <f t="shared" si="37"/>
        <v>2032</v>
      </c>
      <c r="L100" s="249">
        <f t="shared" si="37"/>
        <v>2033</v>
      </c>
      <c r="M100" s="249">
        <f t="shared" si="37"/>
        <v>2034</v>
      </c>
      <c r="N100" s="249">
        <f t="shared" si="37"/>
        <v>2035</v>
      </c>
      <c r="O100" s="249">
        <f t="shared" si="37"/>
        <v>2036</v>
      </c>
      <c r="P100" s="249">
        <f t="shared" si="37"/>
        <v>2037</v>
      </c>
      <c r="Q100" s="249">
        <f t="shared" si="37"/>
        <v>2038</v>
      </c>
      <c r="R100" s="249">
        <f t="shared" si="37"/>
        <v>2039</v>
      </c>
      <c r="S100" s="249">
        <f t="shared" si="37"/>
        <v>2040</v>
      </c>
      <c r="T100" s="249">
        <f t="shared" si="37"/>
        <v>2041</v>
      </c>
      <c r="U100" s="249">
        <f t="shared" si="37"/>
        <v>2042</v>
      </c>
      <c r="V100" s="249">
        <f t="shared" si="37"/>
        <v>2043</v>
      </c>
      <c r="W100" s="249">
        <f t="shared" si="37"/>
        <v>2044</v>
      </c>
      <c r="X100" s="249">
        <f t="shared" si="37"/>
        <v>2045</v>
      </c>
      <c r="Y100" s="249">
        <f t="shared" si="37"/>
        <v>2046</v>
      </c>
      <c r="Z100" s="249">
        <f t="shared" si="37"/>
        <v>2047</v>
      </c>
      <c r="AA100" s="249">
        <f t="shared" si="37"/>
        <v>2048</v>
      </c>
      <c r="AB100" s="249">
        <f t="shared" si="37"/>
        <v>2049</v>
      </c>
      <c r="AC100" s="249">
        <f t="shared" si="37"/>
        <v>2050</v>
      </c>
      <c r="AD100" s="249">
        <f t="shared" si="37"/>
        <v>2051</v>
      </c>
      <c r="AE100" s="249">
        <f t="shared" si="37"/>
        <v>2052</v>
      </c>
      <c r="AF100" s="249">
        <f t="shared" si="37"/>
        <v>2053</v>
      </c>
      <c r="AG100" s="249">
        <f t="shared" si="37"/>
        <v>2054</v>
      </c>
      <c r="AH100" s="160"/>
      <c r="AI100" s="160"/>
      <c r="AJ100" s="160"/>
      <c r="AK100" s="160"/>
    </row>
    <row r="101" spans="1:49" ht="26.25" hidden="1" customHeight="1" x14ac:dyDescent="0.2">
      <c r="A101" s="387" t="s">
        <v>599</v>
      </c>
      <c r="B101" s="251"/>
      <c r="C101" s="251">
        <f>C103*$B$105*$B$106*1000</f>
        <v>0</v>
      </c>
      <c r="D101" s="392">
        <f>$D$112*D106</f>
        <v>4107.0937000000004</v>
      </c>
      <c r="E101" s="392">
        <f t="shared" ref="E101:AG101" si="38">$D$112*E106</f>
        <v>4512.0550199999998</v>
      </c>
      <c r="F101" s="392">
        <f t="shared" si="38"/>
        <v>4746.1126300000005</v>
      </c>
      <c r="G101" s="392">
        <f t="shared" si="38"/>
        <v>4938.3065200000001</v>
      </c>
      <c r="H101" s="392">
        <f t="shared" si="38"/>
        <v>5135.8453500000005</v>
      </c>
      <c r="I101" s="392">
        <f t="shared" si="38"/>
        <v>5135.8453500000005</v>
      </c>
      <c r="J101" s="392">
        <f t="shared" si="38"/>
        <v>5135.8453500000005</v>
      </c>
      <c r="K101" s="392">
        <f t="shared" si="38"/>
        <v>5135.8453500000005</v>
      </c>
      <c r="L101" s="392">
        <f t="shared" si="38"/>
        <v>5135.8453500000005</v>
      </c>
      <c r="M101" s="392">
        <f t="shared" si="38"/>
        <v>5135.8453500000005</v>
      </c>
      <c r="N101" s="392">
        <f t="shared" si="38"/>
        <v>5135.8453500000005</v>
      </c>
      <c r="O101" s="392">
        <f t="shared" si="38"/>
        <v>5135.8453500000005</v>
      </c>
      <c r="P101" s="392">
        <f t="shared" si="38"/>
        <v>5135.8453500000005</v>
      </c>
      <c r="Q101" s="392">
        <f t="shared" si="38"/>
        <v>5135.8453500000005</v>
      </c>
      <c r="R101" s="392">
        <f t="shared" si="38"/>
        <v>5135.8453500000005</v>
      </c>
      <c r="S101" s="392">
        <f t="shared" si="38"/>
        <v>5135.8453500000005</v>
      </c>
      <c r="T101" s="392">
        <f t="shared" si="38"/>
        <v>5135.8453500000005</v>
      </c>
      <c r="U101" s="392">
        <f t="shared" si="38"/>
        <v>5135.8453500000005</v>
      </c>
      <c r="V101" s="392">
        <f t="shared" si="38"/>
        <v>5135.8453500000005</v>
      </c>
      <c r="W101" s="392">
        <f t="shared" si="38"/>
        <v>5135.8453500000005</v>
      </c>
      <c r="X101" s="392">
        <f t="shared" si="38"/>
        <v>5135.8453500000005</v>
      </c>
      <c r="Y101" s="392">
        <f t="shared" si="38"/>
        <v>5135.8453500000005</v>
      </c>
      <c r="Z101" s="392">
        <f t="shared" si="38"/>
        <v>5135.8453500000005</v>
      </c>
      <c r="AA101" s="392">
        <f t="shared" si="38"/>
        <v>5135.8453500000005</v>
      </c>
      <c r="AB101" s="392">
        <f t="shared" si="38"/>
        <v>5135.8453500000005</v>
      </c>
      <c r="AC101" s="392">
        <f t="shared" si="38"/>
        <v>5135.8453500000005</v>
      </c>
      <c r="AD101" s="392">
        <f t="shared" si="38"/>
        <v>5135.8453500000005</v>
      </c>
      <c r="AE101" s="392">
        <f t="shared" si="38"/>
        <v>5135.8453500000005</v>
      </c>
      <c r="AF101" s="392">
        <f t="shared" si="38"/>
        <v>5135.8453500000005</v>
      </c>
      <c r="AG101" s="392">
        <f t="shared" si="38"/>
        <v>5135.8453500000005</v>
      </c>
      <c r="AH101" s="160"/>
      <c r="AI101" s="160"/>
      <c r="AJ101" s="160"/>
      <c r="AK101" s="160"/>
    </row>
    <row r="102" spans="1:49" ht="25.5" hidden="1" x14ac:dyDescent="0.2">
      <c r="A102" s="387" t="s">
        <v>600</v>
      </c>
      <c r="B102" s="386"/>
      <c r="C102" s="386"/>
      <c r="D102" s="391">
        <f>0.00792322803236946*1000000</f>
        <v>7923.2280323694604</v>
      </c>
      <c r="E102" s="386"/>
      <c r="F102" s="386"/>
      <c r="G102" s="386"/>
      <c r="H102" s="386"/>
      <c r="I102" s="386"/>
      <c r="J102" s="386"/>
      <c r="K102" s="386"/>
      <c r="L102" s="386"/>
      <c r="M102" s="386"/>
      <c r="N102" s="386"/>
      <c r="O102" s="386"/>
      <c r="P102" s="386"/>
      <c r="Q102" s="386"/>
      <c r="R102" s="386"/>
      <c r="S102" s="386"/>
      <c r="T102" s="386"/>
      <c r="U102" s="386"/>
      <c r="V102" s="386"/>
      <c r="W102" s="386"/>
      <c r="X102" s="386"/>
      <c r="Y102" s="386"/>
      <c r="Z102" s="386"/>
      <c r="AA102" s="386"/>
      <c r="AB102" s="386"/>
      <c r="AC102" s="386"/>
      <c r="AD102" s="386"/>
      <c r="AE102" s="386"/>
      <c r="AF102" s="386"/>
      <c r="AG102" s="386"/>
      <c r="AH102" s="160"/>
      <c r="AI102" s="160"/>
      <c r="AJ102" s="160"/>
      <c r="AK102" s="160"/>
    </row>
    <row r="103" spans="1:49" ht="12.75" hidden="1" x14ac:dyDescent="0.2">
      <c r="A103" s="250" t="s">
        <v>433</v>
      </c>
      <c r="B103" s="249"/>
      <c r="C103" s="249">
        <f>B103+$I$115*C107</f>
        <v>0</v>
      </c>
      <c r="D103" s="249">
        <f>C103+$I$115*D107</f>
        <v>0</v>
      </c>
      <c r="E103" s="249">
        <f t="shared" ref="E103:AG103" si="39">D103+$I$115*E107</f>
        <v>0</v>
      </c>
      <c r="F103" s="249">
        <f t="shared" si="39"/>
        <v>0</v>
      </c>
      <c r="G103" s="249">
        <f t="shared" si="39"/>
        <v>0</v>
      </c>
      <c r="H103" s="249">
        <f t="shared" si="39"/>
        <v>0</v>
      </c>
      <c r="I103" s="249">
        <f t="shared" si="39"/>
        <v>0</v>
      </c>
      <c r="J103" s="249">
        <f t="shared" si="39"/>
        <v>0</v>
      </c>
      <c r="K103" s="249">
        <f t="shared" si="39"/>
        <v>0</v>
      </c>
      <c r="L103" s="249">
        <f t="shared" si="39"/>
        <v>0</v>
      </c>
      <c r="M103" s="249">
        <f t="shared" si="39"/>
        <v>0</v>
      </c>
      <c r="N103" s="249">
        <f t="shared" si="39"/>
        <v>0</v>
      </c>
      <c r="O103" s="249">
        <f t="shared" si="39"/>
        <v>0</v>
      </c>
      <c r="P103" s="249">
        <f t="shared" si="39"/>
        <v>0</v>
      </c>
      <c r="Q103" s="249">
        <f t="shared" si="39"/>
        <v>0</v>
      </c>
      <c r="R103" s="249">
        <f t="shared" si="39"/>
        <v>0</v>
      </c>
      <c r="S103" s="249">
        <f t="shared" si="39"/>
        <v>0</v>
      </c>
      <c r="T103" s="249">
        <f t="shared" si="39"/>
        <v>0</v>
      </c>
      <c r="U103" s="249">
        <f t="shared" si="39"/>
        <v>0</v>
      </c>
      <c r="V103" s="249">
        <f t="shared" si="39"/>
        <v>0</v>
      </c>
      <c r="W103" s="249">
        <f t="shared" si="39"/>
        <v>0</v>
      </c>
      <c r="X103" s="249">
        <f t="shared" si="39"/>
        <v>0</v>
      </c>
      <c r="Y103" s="249">
        <f t="shared" si="39"/>
        <v>0</v>
      </c>
      <c r="Z103" s="249">
        <f t="shared" si="39"/>
        <v>0</v>
      </c>
      <c r="AA103" s="249">
        <f t="shared" si="39"/>
        <v>0</v>
      </c>
      <c r="AB103" s="249">
        <f t="shared" si="39"/>
        <v>0</v>
      </c>
      <c r="AC103" s="249">
        <f t="shared" si="39"/>
        <v>0</v>
      </c>
      <c r="AD103" s="249">
        <f t="shared" si="39"/>
        <v>0</v>
      </c>
      <c r="AE103" s="249">
        <f t="shared" si="39"/>
        <v>0</v>
      </c>
      <c r="AF103" s="249">
        <f t="shared" si="39"/>
        <v>0</v>
      </c>
      <c r="AG103" s="249">
        <f t="shared" si="39"/>
        <v>0</v>
      </c>
      <c r="AH103" s="160"/>
      <c r="AI103" s="160"/>
      <c r="AJ103" s="160"/>
      <c r="AK103" s="160"/>
    </row>
    <row r="104" spans="1:49" ht="12.75" hidden="1" x14ac:dyDescent="0.2">
      <c r="A104" s="250" t="s">
        <v>434</v>
      </c>
      <c r="B104" s="252">
        <v>0.93</v>
      </c>
      <c r="C104" s="249"/>
      <c r="D104" s="249"/>
      <c r="E104" s="249"/>
      <c r="F104" s="249"/>
      <c r="G104" s="249"/>
      <c r="H104" s="249"/>
      <c r="I104" s="249"/>
      <c r="J104" s="249"/>
      <c r="K104" s="249"/>
      <c r="L104" s="249"/>
      <c r="M104" s="249"/>
      <c r="N104" s="249"/>
      <c r="O104" s="249"/>
      <c r="P104" s="249"/>
      <c r="Q104" s="249"/>
      <c r="R104" s="249"/>
      <c r="S104" s="249"/>
      <c r="T104" s="249"/>
      <c r="U104" s="249"/>
      <c r="V104" s="249"/>
      <c r="W104" s="249"/>
      <c r="X104" s="249"/>
      <c r="Y104" s="249"/>
      <c r="Z104" s="249"/>
      <c r="AA104" s="249"/>
      <c r="AB104" s="249"/>
      <c r="AC104" s="249"/>
      <c r="AD104" s="249"/>
      <c r="AE104" s="249"/>
      <c r="AF104" s="249"/>
      <c r="AG104" s="249"/>
      <c r="AH104" s="160"/>
      <c r="AI104" s="160"/>
      <c r="AJ104" s="160"/>
      <c r="AK104" s="160"/>
    </row>
    <row r="105" spans="1:49" ht="12.75" hidden="1" x14ac:dyDescent="0.2">
      <c r="A105" s="250" t="s">
        <v>435</v>
      </c>
      <c r="B105" s="252">
        <v>3500</v>
      </c>
      <c r="C105" s="249"/>
      <c r="D105" s="249"/>
      <c r="E105" s="249"/>
      <c r="F105" s="249"/>
      <c r="G105" s="249"/>
      <c r="H105" s="249"/>
      <c r="I105" s="249"/>
      <c r="J105" s="249"/>
      <c r="K105" s="249"/>
      <c r="L105" s="249"/>
      <c r="M105" s="249"/>
      <c r="N105" s="249"/>
      <c r="O105" s="249"/>
      <c r="P105" s="249"/>
      <c r="Q105" s="249"/>
      <c r="R105" s="249"/>
      <c r="S105" s="249"/>
      <c r="T105" s="249"/>
      <c r="U105" s="249"/>
      <c r="V105" s="249"/>
      <c r="W105" s="249"/>
      <c r="X105" s="249"/>
      <c r="Y105" s="249"/>
      <c r="Z105" s="249"/>
      <c r="AA105" s="249"/>
      <c r="AB105" s="249"/>
      <c r="AC105" s="249"/>
      <c r="AD105" s="249"/>
      <c r="AE105" s="249"/>
      <c r="AF105" s="249"/>
      <c r="AG105" s="249"/>
      <c r="AH105" s="160"/>
      <c r="AI105" s="160"/>
      <c r="AJ105" s="160"/>
      <c r="AK105" s="160"/>
    </row>
    <row r="106" spans="1:49" ht="12.75" hidden="1" x14ac:dyDescent="0.2">
      <c r="A106" s="250" t="s">
        <v>436</v>
      </c>
      <c r="B106" s="248"/>
      <c r="C106" s="411">
        <v>2449.0500000000002</v>
      </c>
      <c r="D106" s="411">
        <v>2750.9</v>
      </c>
      <c r="E106" s="411">
        <v>3022.14</v>
      </c>
      <c r="F106" s="411">
        <v>3178.91</v>
      </c>
      <c r="G106" s="411">
        <v>3307.64</v>
      </c>
      <c r="H106" s="411">
        <v>3439.95</v>
      </c>
      <c r="I106" s="388">
        <f>H106</f>
        <v>3439.95</v>
      </c>
      <c r="J106" s="388">
        <f t="shared" ref="J106:AG106" si="40">I106</f>
        <v>3439.95</v>
      </c>
      <c r="K106" s="388">
        <f t="shared" si="40"/>
        <v>3439.95</v>
      </c>
      <c r="L106" s="388">
        <f t="shared" si="40"/>
        <v>3439.95</v>
      </c>
      <c r="M106" s="388">
        <f t="shared" si="40"/>
        <v>3439.95</v>
      </c>
      <c r="N106" s="388">
        <f t="shared" si="40"/>
        <v>3439.95</v>
      </c>
      <c r="O106" s="388">
        <f t="shared" si="40"/>
        <v>3439.95</v>
      </c>
      <c r="P106" s="388">
        <f t="shared" si="40"/>
        <v>3439.95</v>
      </c>
      <c r="Q106" s="388">
        <f t="shared" si="40"/>
        <v>3439.95</v>
      </c>
      <c r="R106" s="388">
        <f t="shared" si="40"/>
        <v>3439.95</v>
      </c>
      <c r="S106" s="388">
        <f t="shared" si="40"/>
        <v>3439.95</v>
      </c>
      <c r="T106" s="388">
        <f t="shared" si="40"/>
        <v>3439.95</v>
      </c>
      <c r="U106" s="388">
        <f t="shared" si="40"/>
        <v>3439.95</v>
      </c>
      <c r="V106" s="388">
        <f t="shared" si="40"/>
        <v>3439.95</v>
      </c>
      <c r="W106" s="388">
        <f t="shared" si="40"/>
        <v>3439.95</v>
      </c>
      <c r="X106" s="388">
        <f t="shared" si="40"/>
        <v>3439.95</v>
      </c>
      <c r="Y106" s="388">
        <f t="shared" si="40"/>
        <v>3439.95</v>
      </c>
      <c r="Z106" s="388">
        <f t="shared" si="40"/>
        <v>3439.95</v>
      </c>
      <c r="AA106" s="388">
        <f t="shared" si="40"/>
        <v>3439.95</v>
      </c>
      <c r="AB106" s="388">
        <f t="shared" si="40"/>
        <v>3439.95</v>
      </c>
      <c r="AC106" s="388">
        <f t="shared" si="40"/>
        <v>3439.95</v>
      </c>
      <c r="AD106" s="388">
        <f t="shared" si="40"/>
        <v>3439.95</v>
      </c>
      <c r="AE106" s="388">
        <f t="shared" si="40"/>
        <v>3439.95</v>
      </c>
      <c r="AF106" s="388">
        <f t="shared" si="40"/>
        <v>3439.95</v>
      </c>
      <c r="AG106" s="388">
        <f t="shared" si="40"/>
        <v>3439.95</v>
      </c>
      <c r="AH106" s="160"/>
      <c r="AI106" s="160"/>
      <c r="AJ106" s="160"/>
      <c r="AK106" s="160"/>
    </row>
    <row r="107" spans="1:49" ht="15" hidden="1" x14ac:dyDescent="0.2">
      <c r="A107" s="253" t="s">
        <v>437</v>
      </c>
      <c r="B107" s="254">
        <v>0</v>
      </c>
      <c r="C107" s="255">
        <v>0.33</v>
      </c>
      <c r="D107" s="255">
        <v>0.33</v>
      </c>
      <c r="E107" s="255">
        <v>0.34</v>
      </c>
      <c r="F107" s="254">
        <v>0</v>
      </c>
      <c r="G107" s="254">
        <v>0</v>
      </c>
      <c r="H107" s="254">
        <v>0</v>
      </c>
      <c r="I107" s="254">
        <v>0</v>
      </c>
      <c r="J107" s="254">
        <v>0</v>
      </c>
      <c r="K107" s="254">
        <v>0</v>
      </c>
      <c r="L107" s="254">
        <v>0</v>
      </c>
      <c r="M107" s="254">
        <v>0</v>
      </c>
      <c r="N107" s="254">
        <v>0</v>
      </c>
      <c r="O107" s="254">
        <v>0</v>
      </c>
      <c r="P107" s="254">
        <v>0</v>
      </c>
      <c r="Q107" s="254">
        <v>0</v>
      </c>
      <c r="R107" s="254">
        <v>0</v>
      </c>
      <c r="S107" s="254">
        <v>0</v>
      </c>
      <c r="T107" s="254">
        <v>0</v>
      </c>
      <c r="U107" s="254">
        <v>0</v>
      </c>
      <c r="V107" s="254">
        <v>0</v>
      </c>
      <c r="W107" s="254">
        <v>0</v>
      </c>
      <c r="X107" s="254">
        <v>0</v>
      </c>
      <c r="Y107" s="254">
        <v>0</v>
      </c>
      <c r="Z107" s="254">
        <v>0</v>
      </c>
      <c r="AA107" s="254">
        <v>0</v>
      </c>
      <c r="AB107" s="254">
        <v>0</v>
      </c>
      <c r="AC107" s="254">
        <v>0</v>
      </c>
      <c r="AD107" s="254">
        <v>0</v>
      </c>
      <c r="AE107" s="254">
        <v>0</v>
      </c>
      <c r="AF107" s="254">
        <v>0</v>
      </c>
      <c r="AG107" s="254">
        <v>0</v>
      </c>
      <c r="AH107" s="160"/>
      <c r="AI107" s="160"/>
      <c r="AJ107" s="160"/>
      <c r="AK107" s="160"/>
    </row>
    <row r="108" spans="1:49" ht="12.75" hidden="1" x14ac:dyDescent="0.2">
      <c r="A108" s="163"/>
      <c r="B108" s="161"/>
      <c r="C108" s="161"/>
      <c r="D108" s="161"/>
      <c r="E108" s="161"/>
      <c r="F108" s="161"/>
      <c r="G108" s="161"/>
      <c r="H108" s="161"/>
      <c r="I108" s="161"/>
      <c r="J108" s="161"/>
      <c r="K108" s="161"/>
      <c r="L108" s="161"/>
      <c r="M108" s="161"/>
      <c r="N108" s="161"/>
      <c r="O108" s="161"/>
      <c r="P108" s="161"/>
      <c r="Q108" s="161"/>
      <c r="R108" s="161"/>
      <c r="S108" s="161"/>
      <c r="T108" s="161"/>
      <c r="U108" s="161"/>
      <c r="V108" s="161"/>
      <c r="W108" s="161"/>
      <c r="X108" s="161"/>
      <c r="Y108" s="161"/>
      <c r="Z108" s="161"/>
      <c r="AA108" s="161"/>
      <c r="AB108" s="161"/>
      <c r="AC108" s="161"/>
      <c r="AD108" s="161"/>
      <c r="AE108" s="161"/>
      <c r="AF108" s="161"/>
      <c r="AG108" s="161"/>
      <c r="AH108" s="160"/>
      <c r="AI108" s="161"/>
      <c r="AJ108" s="161"/>
      <c r="AK108" s="161"/>
      <c r="AL108" s="161"/>
      <c r="AM108" s="161"/>
      <c r="AN108" s="161"/>
      <c r="AO108" s="161"/>
      <c r="AP108" s="161"/>
      <c r="AQ108" s="161"/>
      <c r="AR108" s="161"/>
      <c r="AS108" s="161"/>
      <c r="AT108" s="161"/>
      <c r="AU108" s="161"/>
      <c r="AV108" s="161"/>
      <c r="AW108" s="161"/>
    </row>
    <row r="109" spans="1:49" ht="12.75" hidden="1" x14ac:dyDescent="0.2">
      <c r="A109" s="163"/>
      <c r="B109" s="161"/>
      <c r="C109" s="161"/>
      <c r="D109" s="161"/>
      <c r="E109" s="161"/>
      <c r="F109" s="161"/>
      <c r="G109" s="161"/>
      <c r="H109" s="161"/>
      <c r="I109" s="161"/>
      <c r="J109" s="161"/>
      <c r="K109" s="161"/>
      <c r="L109" s="161"/>
      <c r="M109" s="161"/>
      <c r="N109" s="161"/>
      <c r="O109" s="161"/>
      <c r="P109" s="161"/>
      <c r="Q109" s="161"/>
      <c r="R109" s="161"/>
      <c r="S109" s="161"/>
      <c r="T109" s="161"/>
      <c r="U109" s="161"/>
      <c r="V109" s="161"/>
      <c r="W109" s="161"/>
      <c r="X109" s="161"/>
      <c r="Y109" s="161"/>
      <c r="Z109" s="161"/>
      <c r="AA109" s="161"/>
      <c r="AB109" s="161"/>
      <c r="AC109" s="161"/>
      <c r="AD109" s="161"/>
      <c r="AE109" s="161"/>
      <c r="AF109" s="161"/>
      <c r="AG109" s="161"/>
      <c r="AH109" s="160"/>
      <c r="AI109" s="161"/>
      <c r="AJ109" s="161"/>
      <c r="AK109" s="161"/>
      <c r="AL109" s="161"/>
      <c r="AM109" s="161"/>
      <c r="AN109" s="161"/>
      <c r="AO109" s="161"/>
      <c r="AP109" s="161"/>
      <c r="AQ109" s="161"/>
      <c r="AR109" s="161"/>
      <c r="AS109" s="161"/>
      <c r="AT109" s="161"/>
      <c r="AU109" s="161"/>
      <c r="AV109" s="161"/>
      <c r="AW109" s="161"/>
    </row>
    <row r="110" spans="1:49" ht="12.75" hidden="1" x14ac:dyDescent="0.2">
      <c r="A110" s="247"/>
      <c r="B110" s="502" t="s">
        <v>438</v>
      </c>
      <c r="C110" s="503"/>
      <c r="D110" s="502" t="s">
        <v>439</v>
      </c>
      <c r="E110" s="503"/>
      <c r="F110" s="247"/>
      <c r="G110" s="247"/>
      <c r="H110" s="247"/>
      <c r="I110" s="247"/>
      <c r="J110" s="247"/>
      <c r="K110" s="161"/>
      <c r="L110" s="161"/>
      <c r="M110" s="161"/>
      <c r="N110" s="161"/>
      <c r="O110" s="161"/>
      <c r="P110" s="161"/>
      <c r="Q110" s="161"/>
      <c r="R110" s="161"/>
      <c r="S110" s="161"/>
      <c r="T110" s="161"/>
      <c r="U110" s="161"/>
      <c r="V110" s="161"/>
      <c r="W110" s="161"/>
      <c r="X110" s="161"/>
      <c r="Y110" s="161"/>
      <c r="Z110" s="161"/>
      <c r="AA110" s="161"/>
      <c r="AB110" s="161"/>
      <c r="AC110" s="161"/>
      <c r="AD110" s="161"/>
      <c r="AE110" s="161"/>
      <c r="AF110" s="161"/>
      <c r="AG110" s="161"/>
      <c r="AH110" s="160"/>
      <c r="AI110" s="161"/>
      <c r="AJ110" s="161"/>
      <c r="AK110" s="161"/>
      <c r="AL110" s="161"/>
      <c r="AM110" s="161"/>
      <c r="AN110" s="161"/>
      <c r="AO110" s="161"/>
      <c r="AP110" s="161"/>
      <c r="AQ110" s="161"/>
      <c r="AR110" s="161"/>
      <c r="AS110" s="161"/>
      <c r="AT110" s="161"/>
      <c r="AU110" s="161"/>
      <c r="AV110" s="161"/>
      <c r="AW110" s="161"/>
    </row>
    <row r="111" spans="1:49" ht="22.5" hidden="1" customHeight="1" x14ac:dyDescent="0.2">
      <c r="A111" s="250" t="s">
        <v>440</v>
      </c>
      <c r="B111" s="256"/>
      <c r="C111" s="247" t="s">
        <v>441</v>
      </c>
      <c r="D111" s="256"/>
      <c r="E111" s="247" t="s">
        <v>441</v>
      </c>
      <c r="F111" s="247"/>
      <c r="G111" s="247"/>
      <c r="H111" s="247"/>
      <c r="I111" s="247"/>
      <c r="J111" s="247"/>
      <c r="K111" s="161"/>
      <c r="L111" s="161"/>
      <c r="M111" s="161"/>
      <c r="N111" s="161"/>
      <c r="O111" s="161"/>
      <c r="P111" s="161"/>
      <c r="Q111" s="161"/>
      <c r="R111" s="161"/>
      <c r="S111" s="161"/>
      <c r="T111" s="161"/>
      <c r="U111" s="161"/>
      <c r="V111" s="161"/>
      <c r="W111" s="161"/>
      <c r="X111" s="161"/>
      <c r="Y111" s="161"/>
      <c r="Z111" s="161"/>
      <c r="AA111" s="161"/>
      <c r="AB111" s="161"/>
      <c r="AC111" s="161"/>
      <c r="AD111" s="161"/>
      <c r="AE111" s="161"/>
      <c r="AF111" s="161"/>
      <c r="AG111" s="161"/>
      <c r="AH111" s="160"/>
      <c r="AI111" s="161"/>
      <c r="AJ111" s="161"/>
      <c r="AK111" s="161"/>
      <c r="AL111" s="161"/>
      <c r="AM111" s="161"/>
      <c r="AN111" s="161"/>
      <c r="AO111" s="161"/>
      <c r="AP111" s="161"/>
      <c r="AQ111" s="161"/>
      <c r="AR111" s="161"/>
      <c r="AS111" s="161"/>
      <c r="AT111" s="161"/>
      <c r="AU111" s="161"/>
      <c r="AV111" s="161"/>
      <c r="AW111" s="161"/>
    </row>
    <row r="112" spans="1:49" ht="21" hidden="1" customHeight="1" x14ac:dyDescent="0.2">
      <c r="A112" s="383" t="s">
        <v>597</v>
      </c>
      <c r="B112" s="384"/>
      <c r="C112" s="385"/>
      <c r="D112" s="390">
        <v>1.4930000000000001</v>
      </c>
      <c r="E112" s="385" t="s">
        <v>598</v>
      </c>
      <c r="F112" s="385"/>
      <c r="G112" s="385"/>
      <c r="H112" s="385"/>
      <c r="I112" s="385"/>
      <c r="J112" s="385"/>
      <c r="K112" s="161"/>
      <c r="L112" s="161"/>
      <c r="M112" s="161"/>
      <c r="N112" s="161"/>
      <c r="O112" s="161"/>
      <c r="P112" s="161"/>
      <c r="Q112" s="161"/>
      <c r="R112" s="161"/>
      <c r="S112" s="161"/>
      <c r="T112" s="161"/>
      <c r="U112" s="161"/>
      <c r="V112" s="161"/>
      <c r="W112" s="161"/>
      <c r="X112" s="161"/>
      <c r="Y112" s="161"/>
      <c r="Z112" s="161"/>
      <c r="AA112" s="161"/>
      <c r="AB112" s="161"/>
      <c r="AC112" s="161"/>
      <c r="AD112" s="161"/>
      <c r="AE112" s="161"/>
      <c r="AF112" s="161"/>
      <c r="AG112" s="161"/>
      <c r="AH112" s="161"/>
      <c r="AI112" s="161"/>
      <c r="AJ112" s="161"/>
      <c r="AK112" s="161"/>
      <c r="AL112" s="161"/>
      <c r="AM112" s="161"/>
      <c r="AN112" s="161"/>
      <c r="AO112" s="161"/>
      <c r="AP112" s="161"/>
      <c r="AQ112" s="161"/>
      <c r="AR112" s="161"/>
      <c r="AS112" s="161"/>
      <c r="AT112" s="161"/>
      <c r="AU112" s="161"/>
      <c r="AV112" s="161"/>
      <c r="AW112" s="161"/>
    </row>
    <row r="113" spans="1:49" ht="25.5" hidden="1" x14ac:dyDescent="0.2">
      <c r="A113" s="250" t="s">
        <v>440</v>
      </c>
      <c r="B113" s="247">
        <f>$B$104*B111</f>
        <v>0</v>
      </c>
      <c r="C113" s="247" t="s">
        <v>124</v>
      </c>
      <c r="D113" s="247">
        <f>$B$104*D111</f>
        <v>0</v>
      </c>
      <c r="E113" s="247" t="s">
        <v>124</v>
      </c>
      <c r="F113" s="250" t="s">
        <v>442</v>
      </c>
      <c r="G113" s="247">
        <f>D111-B111</f>
        <v>0</v>
      </c>
      <c r="H113" s="247" t="s">
        <v>441</v>
      </c>
      <c r="I113" s="257">
        <f>$B$104*G113</f>
        <v>0</v>
      </c>
      <c r="J113" s="247" t="s">
        <v>124</v>
      </c>
      <c r="K113" s="161"/>
      <c r="L113" s="161"/>
      <c r="M113" s="161"/>
      <c r="N113" s="161"/>
      <c r="O113" s="161"/>
      <c r="P113" s="161"/>
      <c r="Q113" s="161"/>
      <c r="R113" s="161"/>
      <c r="S113" s="161"/>
      <c r="T113" s="161"/>
      <c r="U113" s="161"/>
      <c r="V113" s="161"/>
      <c r="W113" s="161"/>
      <c r="X113" s="161"/>
      <c r="Y113" s="161"/>
      <c r="Z113" s="161"/>
      <c r="AA113" s="161"/>
      <c r="AB113" s="161"/>
      <c r="AC113" s="161"/>
      <c r="AD113" s="161"/>
      <c r="AE113" s="161"/>
      <c r="AF113" s="161"/>
      <c r="AG113" s="161"/>
      <c r="AH113" s="161"/>
      <c r="AI113" s="161"/>
      <c r="AJ113" s="161"/>
      <c r="AK113" s="161"/>
      <c r="AL113" s="161"/>
      <c r="AM113" s="161"/>
      <c r="AN113" s="161"/>
      <c r="AO113" s="161"/>
      <c r="AP113" s="161"/>
      <c r="AQ113" s="161"/>
      <c r="AR113" s="161"/>
      <c r="AS113" s="161"/>
      <c r="AT113" s="161"/>
      <c r="AU113" s="161"/>
      <c r="AV113" s="161"/>
      <c r="AW113" s="161"/>
    </row>
    <row r="114" spans="1:49" ht="25.5" hidden="1" x14ac:dyDescent="0.2">
      <c r="A114" s="247"/>
      <c r="B114" s="247"/>
      <c r="C114" s="247"/>
      <c r="D114" s="247"/>
      <c r="E114" s="247"/>
      <c r="F114" s="250" t="s">
        <v>443</v>
      </c>
      <c r="G114" s="247">
        <f>I114/$B$104</f>
        <v>0</v>
      </c>
      <c r="H114" s="247" t="s">
        <v>441</v>
      </c>
      <c r="I114" s="256"/>
      <c r="J114" s="247" t="s">
        <v>124</v>
      </c>
      <c r="K114" s="161"/>
      <c r="L114" s="161"/>
      <c r="M114" s="161"/>
      <c r="N114" s="161"/>
      <c r="O114" s="161"/>
      <c r="P114" s="161"/>
      <c r="Q114" s="161"/>
      <c r="R114" s="161"/>
      <c r="S114" s="161"/>
      <c r="T114" s="161"/>
      <c r="U114" s="161"/>
      <c r="V114" s="161"/>
      <c r="W114" s="161"/>
      <c r="X114" s="161"/>
      <c r="Y114" s="161"/>
      <c r="Z114" s="161"/>
      <c r="AA114" s="161"/>
      <c r="AB114" s="161"/>
      <c r="AC114" s="161"/>
      <c r="AD114" s="161"/>
      <c r="AE114" s="161"/>
      <c r="AF114" s="161"/>
      <c r="AG114" s="161"/>
      <c r="AH114" s="161"/>
      <c r="AI114" s="161"/>
      <c r="AJ114" s="161"/>
      <c r="AK114" s="161"/>
      <c r="AL114" s="161"/>
      <c r="AM114" s="161"/>
      <c r="AN114" s="161"/>
      <c r="AO114" s="161"/>
      <c r="AP114" s="161"/>
      <c r="AQ114" s="161"/>
      <c r="AR114" s="161"/>
      <c r="AS114" s="161"/>
      <c r="AT114" s="161"/>
      <c r="AU114" s="161"/>
      <c r="AV114" s="161"/>
      <c r="AW114" s="161"/>
    </row>
    <row r="115" spans="1:49" ht="38.25" hidden="1" x14ac:dyDescent="0.2">
      <c r="A115" s="258"/>
      <c r="B115" s="259"/>
      <c r="C115" s="259"/>
      <c r="D115" s="259"/>
      <c r="E115" s="259"/>
      <c r="F115" s="260" t="s">
        <v>444</v>
      </c>
      <c r="G115" s="257">
        <f>G113</f>
        <v>0</v>
      </c>
      <c r="H115" s="247" t="s">
        <v>441</v>
      </c>
      <c r="I115" s="252">
        <f>I113</f>
        <v>0</v>
      </c>
      <c r="J115" s="247" t="s">
        <v>124</v>
      </c>
      <c r="K115" s="161"/>
      <c r="L115" s="161"/>
      <c r="M115" s="161"/>
      <c r="N115" s="161"/>
      <c r="O115" s="161"/>
      <c r="P115" s="161"/>
      <c r="Q115" s="161"/>
      <c r="R115" s="161"/>
      <c r="S115" s="161"/>
      <c r="T115" s="161"/>
      <c r="U115" s="161"/>
      <c r="V115" s="161"/>
      <c r="W115" s="161"/>
      <c r="X115" s="161"/>
      <c r="Y115" s="161"/>
      <c r="Z115" s="161"/>
      <c r="AA115" s="161"/>
      <c r="AB115" s="161"/>
      <c r="AC115" s="161"/>
      <c r="AD115" s="161"/>
      <c r="AE115" s="161"/>
      <c r="AF115" s="161"/>
      <c r="AG115" s="161"/>
      <c r="AH115" s="161"/>
      <c r="AI115" s="161"/>
      <c r="AJ115" s="161"/>
      <c r="AK115" s="161"/>
      <c r="AL115" s="161"/>
      <c r="AM115" s="161"/>
      <c r="AN115" s="161"/>
      <c r="AO115" s="161"/>
      <c r="AP115" s="161"/>
      <c r="AQ115" s="161"/>
      <c r="AR115" s="161"/>
      <c r="AS115" s="161"/>
      <c r="AT115" s="161"/>
      <c r="AU115" s="161"/>
      <c r="AV115" s="161"/>
      <c r="AW115" s="161"/>
    </row>
    <row r="116" spans="1:49" ht="12.75" hidden="1" x14ac:dyDescent="0.2">
      <c r="A116" s="164"/>
      <c r="B116" s="162"/>
      <c r="C116" s="161"/>
      <c r="D116" s="161"/>
      <c r="E116" s="161"/>
      <c r="F116" s="161"/>
      <c r="G116" s="161"/>
      <c r="H116" s="161"/>
      <c r="I116" s="161"/>
      <c r="J116" s="161"/>
      <c r="K116" s="161"/>
      <c r="L116" s="161"/>
      <c r="M116" s="161"/>
      <c r="N116" s="161"/>
      <c r="O116" s="161"/>
      <c r="P116" s="161"/>
      <c r="Q116" s="161"/>
      <c r="R116" s="161"/>
      <c r="S116" s="161"/>
      <c r="T116" s="161"/>
      <c r="U116" s="161"/>
      <c r="V116" s="161"/>
      <c r="W116" s="161"/>
      <c r="X116" s="161"/>
      <c r="Y116" s="161"/>
      <c r="Z116" s="161"/>
      <c r="AA116" s="161"/>
      <c r="AB116" s="161"/>
      <c r="AC116" s="161"/>
      <c r="AD116" s="161"/>
      <c r="AE116" s="161"/>
      <c r="AF116" s="161"/>
      <c r="AG116" s="161"/>
      <c r="AH116" s="161"/>
      <c r="AI116" s="161"/>
      <c r="AJ116" s="161"/>
      <c r="AK116" s="161"/>
      <c r="AL116" s="161"/>
      <c r="AM116" s="161"/>
      <c r="AN116" s="161"/>
      <c r="AO116" s="161"/>
      <c r="AP116" s="161"/>
      <c r="AQ116" s="161"/>
      <c r="AR116" s="161"/>
      <c r="AS116" s="161"/>
      <c r="AT116" s="161"/>
      <c r="AU116" s="161"/>
      <c r="AV116" s="161"/>
      <c r="AW116" s="161"/>
    </row>
    <row r="117" spans="1:49" hidden="1" x14ac:dyDescent="0.2">
      <c r="A117" s="261" t="s">
        <v>445</v>
      </c>
      <c r="B117" s="262"/>
      <c r="C117" s="162"/>
      <c r="D117" s="494" t="s">
        <v>277</v>
      </c>
      <c r="E117" s="213" t="s">
        <v>505</v>
      </c>
      <c r="F117" s="214">
        <v>35</v>
      </c>
      <c r="G117" s="495" t="s">
        <v>506</v>
      </c>
      <c r="H117" s="162"/>
      <c r="I117" s="162"/>
      <c r="J117" s="162"/>
      <c r="K117" s="162"/>
      <c r="L117" s="162"/>
      <c r="M117" s="162"/>
      <c r="N117" s="162"/>
      <c r="O117" s="162"/>
      <c r="P117" s="162"/>
      <c r="Q117" s="162"/>
      <c r="R117" s="162"/>
      <c r="S117" s="162"/>
      <c r="T117" s="162"/>
      <c r="U117" s="162"/>
      <c r="V117" s="162"/>
      <c r="W117" s="162"/>
      <c r="X117" s="162"/>
      <c r="Y117" s="162"/>
      <c r="Z117" s="162"/>
      <c r="AA117" s="162"/>
      <c r="AB117" s="162"/>
      <c r="AC117" s="162"/>
      <c r="AD117" s="162"/>
      <c r="AE117" s="162"/>
      <c r="AF117" s="162"/>
      <c r="AG117" s="162"/>
      <c r="AH117" s="162"/>
      <c r="AI117" s="162"/>
      <c r="AJ117" s="162"/>
      <c r="AK117" s="162"/>
      <c r="AL117" s="162"/>
      <c r="AM117" s="162"/>
      <c r="AN117" s="162"/>
      <c r="AO117" s="162"/>
      <c r="AP117" s="162"/>
      <c r="AQ117" s="162"/>
      <c r="AR117" s="162"/>
      <c r="AS117" s="162"/>
      <c r="AT117" s="162"/>
      <c r="AU117" s="162"/>
      <c r="AV117" s="162"/>
      <c r="AW117" s="162"/>
    </row>
    <row r="118" spans="1:49" hidden="1" x14ac:dyDescent="0.2">
      <c r="A118" s="261" t="s">
        <v>277</v>
      </c>
      <c r="B118" s="263"/>
      <c r="C118" s="162"/>
      <c r="D118" s="494"/>
      <c r="E118" s="213" t="s">
        <v>507</v>
      </c>
      <c r="F118" s="214">
        <v>30</v>
      </c>
      <c r="G118" s="495"/>
      <c r="H118" s="162"/>
      <c r="I118" s="162"/>
      <c r="J118" s="162"/>
      <c r="K118" s="162"/>
      <c r="L118" s="162"/>
      <c r="M118" s="162"/>
      <c r="N118" s="162"/>
      <c r="O118" s="162"/>
      <c r="P118" s="162"/>
      <c r="Q118" s="162"/>
      <c r="R118" s="162"/>
      <c r="S118" s="162"/>
      <c r="T118" s="162"/>
      <c r="U118" s="162"/>
      <c r="V118" s="162"/>
      <c r="W118" s="162"/>
      <c r="X118" s="162"/>
      <c r="Y118" s="162"/>
      <c r="Z118" s="162"/>
      <c r="AA118" s="162"/>
      <c r="AB118" s="162"/>
      <c r="AC118" s="162"/>
      <c r="AD118" s="162"/>
      <c r="AE118" s="162"/>
      <c r="AF118" s="162"/>
      <c r="AG118" s="162"/>
      <c r="AH118" s="162"/>
      <c r="AI118" s="162"/>
      <c r="AJ118" s="162"/>
      <c r="AK118" s="162"/>
      <c r="AL118" s="162"/>
      <c r="AM118" s="162"/>
      <c r="AN118" s="162"/>
      <c r="AO118" s="162"/>
      <c r="AP118" s="162"/>
      <c r="AQ118" s="162"/>
      <c r="AR118" s="162"/>
      <c r="AS118" s="162"/>
      <c r="AT118" s="162"/>
      <c r="AU118" s="162"/>
      <c r="AV118" s="162"/>
      <c r="AW118" s="162"/>
    </row>
    <row r="119" spans="1:49" hidden="1" x14ac:dyDescent="0.2">
      <c r="A119" s="261" t="s">
        <v>446</v>
      </c>
      <c r="B119" s="263"/>
      <c r="C119" s="165" t="s">
        <v>447</v>
      </c>
      <c r="D119" s="494"/>
      <c r="E119" s="213" t="s">
        <v>508</v>
      </c>
      <c r="F119" s="214">
        <v>30</v>
      </c>
      <c r="G119" s="495"/>
      <c r="H119" s="162"/>
      <c r="I119" s="162"/>
      <c r="J119" s="162"/>
      <c r="K119" s="162"/>
      <c r="L119" s="162"/>
      <c r="M119" s="162"/>
      <c r="N119" s="162"/>
      <c r="O119" s="162"/>
      <c r="P119" s="162"/>
      <c r="Q119" s="162"/>
      <c r="R119" s="162"/>
      <c r="S119" s="162"/>
      <c r="T119" s="162"/>
      <c r="U119" s="162"/>
      <c r="V119" s="162"/>
      <c r="W119" s="162"/>
      <c r="X119" s="162"/>
      <c r="Y119" s="162"/>
      <c r="Z119" s="162"/>
      <c r="AA119" s="162"/>
      <c r="AB119" s="162"/>
      <c r="AC119" s="162"/>
      <c r="AD119" s="162"/>
      <c r="AE119" s="162"/>
      <c r="AF119" s="162"/>
      <c r="AG119" s="162"/>
      <c r="AH119" s="162"/>
      <c r="AI119" s="162"/>
      <c r="AJ119" s="162"/>
      <c r="AK119" s="162"/>
      <c r="AL119" s="162"/>
      <c r="AM119" s="162"/>
      <c r="AN119" s="162"/>
      <c r="AO119" s="162"/>
      <c r="AP119" s="162"/>
      <c r="AQ119" s="162"/>
      <c r="AR119" s="162"/>
      <c r="AS119" s="162"/>
      <c r="AT119" s="162"/>
      <c r="AU119" s="162"/>
      <c r="AV119" s="162"/>
      <c r="AW119" s="162"/>
    </row>
    <row r="120" spans="1:49" s="136" customFormat="1" hidden="1" x14ac:dyDescent="0.2">
      <c r="A120" s="264"/>
      <c r="B120" s="265"/>
      <c r="C120" s="166"/>
      <c r="D120" s="494"/>
      <c r="E120" s="213" t="s">
        <v>509</v>
      </c>
      <c r="F120" s="214">
        <v>30</v>
      </c>
      <c r="G120" s="495"/>
      <c r="H120" s="167"/>
      <c r="I120" s="167"/>
      <c r="J120" s="167"/>
      <c r="K120" s="167"/>
      <c r="L120" s="167"/>
      <c r="M120" s="167"/>
      <c r="N120" s="167"/>
      <c r="O120" s="167"/>
      <c r="P120" s="167"/>
      <c r="Q120" s="167"/>
      <c r="R120" s="167"/>
      <c r="S120" s="167"/>
      <c r="T120" s="167"/>
      <c r="U120" s="167"/>
      <c r="V120" s="167"/>
      <c r="W120" s="167"/>
      <c r="X120" s="167"/>
      <c r="Y120" s="167"/>
      <c r="Z120" s="167"/>
      <c r="AA120" s="167"/>
      <c r="AB120" s="167"/>
      <c r="AC120" s="167"/>
      <c r="AD120" s="167"/>
      <c r="AE120" s="167"/>
      <c r="AF120" s="167"/>
      <c r="AG120" s="167"/>
      <c r="AH120" s="167"/>
      <c r="AI120" s="167"/>
      <c r="AJ120" s="167"/>
      <c r="AK120" s="167"/>
      <c r="AL120" s="167"/>
      <c r="AM120" s="167"/>
      <c r="AN120" s="167"/>
      <c r="AO120" s="167"/>
      <c r="AP120" s="167"/>
      <c r="AQ120" s="167"/>
      <c r="AR120" s="167"/>
      <c r="AS120" s="167"/>
      <c r="AT120" s="167"/>
      <c r="AU120" s="167"/>
      <c r="AV120" s="167"/>
      <c r="AW120" s="167"/>
    </row>
    <row r="121" spans="1:49" ht="12.75" hidden="1" x14ac:dyDescent="0.2">
      <c r="A121" s="261" t="s">
        <v>448</v>
      </c>
      <c r="B121" s="266"/>
      <c r="C121" s="162"/>
      <c r="D121" s="162"/>
      <c r="E121" s="162"/>
      <c r="F121" s="162"/>
      <c r="G121" s="162"/>
      <c r="H121" s="162"/>
      <c r="I121" s="162"/>
      <c r="J121" s="162"/>
      <c r="K121" s="162"/>
      <c r="L121" s="162"/>
      <c r="M121" s="162"/>
      <c r="N121" s="162"/>
      <c r="O121" s="162"/>
      <c r="P121" s="162"/>
      <c r="Q121" s="162"/>
      <c r="R121" s="162"/>
      <c r="S121" s="162"/>
      <c r="T121" s="162"/>
      <c r="U121" s="162"/>
      <c r="V121" s="162"/>
      <c r="W121" s="162"/>
      <c r="X121" s="162"/>
      <c r="Y121" s="162"/>
      <c r="Z121" s="162"/>
      <c r="AA121" s="162"/>
      <c r="AB121" s="162"/>
      <c r="AC121" s="162"/>
      <c r="AD121" s="162"/>
      <c r="AE121" s="162"/>
      <c r="AF121" s="162"/>
      <c r="AG121" s="162"/>
      <c r="AH121" s="162"/>
      <c r="AI121" s="162"/>
      <c r="AJ121" s="162"/>
      <c r="AK121" s="162"/>
      <c r="AL121" s="162"/>
      <c r="AM121" s="162"/>
      <c r="AN121" s="162"/>
      <c r="AO121" s="162"/>
      <c r="AP121" s="162"/>
      <c r="AQ121" s="162"/>
      <c r="AR121" s="162"/>
      <c r="AS121" s="162"/>
      <c r="AT121" s="162"/>
      <c r="AU121" s="162"/>
      <c r="AV121" s="162"/>
      <c r="AW121" s="162"/>
    </row>
    <row r="122" spans="1:49" ht="12.75" hidden="1" x14ac:dyDescent="0.2">
      <c r="A122" s="261" t="s">
        <v>449</v>
      </c>
      <c r="B122" s="267"/>
      <c r="C122" s="162"/>
      <c r="D122" s="162"/>
      <c r="E122" s="162"/>
      <c r="F122" s="162"/>
      <c r="G122" s="162"/>
      <c r="H122" s="162"/>
      <c r="I122" s="162"/>
      <c r="J122" s="162"/>
      <c r="K122" s="162"/>
      <c r="L122" s="162"/>
      <c r="M122" s="162"/>
      <c r="N122" s="162"/>
      <c r="O122" s="162"/>
      <c r="P122" s="162"/>
      <c r="Q122" s="162"/>
      <c r="R122" s="162"/>
      <c r="S122" s="162"/>
      <c r="T122" s="162"/>
      <c r="U122" s="162"/>
      <c r="V122" s="162"/>
      <c r="W122" s="162"/>
      <c r="X122" s="162"/>
      <c r="Y122" s="162"/>
      <c r="Z122" s="162"/>
      <c r="AA122" s="162"/>
      <c r="AB122" s="162"/>
      <c r="AC122" s="162"/>
      <c r="AD122" s="162"/>
      <c r="AE122" s="162"/>
      <c r="AF122" s="162"/>
      <c r="AG122" s="162"/>
      <c r="AH122" s="162"/>
      <c r="AI122" s="162"/>
      <c r="AJ122" s="162"/>
      <c r="AK122" s="162"/>
      <c r="AL122" s="162"/>
      <c r="AM122" s="162"/>
      <c r="AN122" s="162"/>
      <c r="AO122" s="162"/>
      <c r="AP122" s="162"/>
      <c r="AQ122" s="162"/>
      <c r="AR122" s="162"/>
      <c r="AS122" s="162"/>
      <c r="AT122" s="162"/>
      <c r="AU122" s="162"/>
      <c r="AV122" s="162"/>
      <c r="AW122" s="162"/>
    </row>
    <row r="123" spans="1:49" ht="12.75" hidden="1" x14ac:dyDescent="0.2">
      <c r="A123" s="164"/>
      <c r="B123" s="168"/>
      <c r="C123" s="162"/>
      <c r="D123" s="162"/>
      <c r="E123" s="162"/>
      <c r="F123" s="162"/>
      <c r="G123" s="162"/>
      <c r="H123" s="162"/>
      <c r="I123" s="162"/>
      <c r="J123" s="162"/>
      <c r="K123" s="162"/>
      <c r="L123" s="162"/>
      <c r="M123" s="162"/>
      <c r="N123" s="162"/>
      <c r="O123" s="162"/>
      <c r="P123" s="162"/>
      <c r="Q123" s="162"/>
      <c r="R123" s="162"/>
      <c r="S123" s="162"/>
      <c r="T123" s="162"/>
      <c r="U123" s="162"/>
      <c r="V123" s="162"/>
      <c r="W123" s="162"/>
      <c r="X123" s="162"/>
      <c r="Y123" s="162"/>
      <c r="Z123" s="162"/>
      <c r="AA123" s="162"/>
      <c r="AB123" s="162"/>
      <c r="AC123" s="162"/>
      <c r="AD123" s="162"/>
      <c r="AE123" s="162"/>
      <c r="AF123" s="162"/>
      <c r="AG123" s="162"/>
      <c r="AH123" s="162"/>
      <c r="AI123" s="162"/>
      <c r="AJ123" s="162"/>
      <c r="AK123" s="162"/>
      <c r="AL123" s="162"/>
      <c r="AM123" s="162"/>
      <c r="AN123" s="162"/>
      <c r="AO123" s="162"/>
      <c r="AP123" s="162"/>
      <c r="AQ123" s="162"/>
      <c r="AR123" s="162"/>
      <c r="AS123" s="162"/>
      <c r="AT123" s="162"/>
      <c r="AU123" s="162"/>
      <c r="AV123" s="162"/>
      <c r="AW123" s="162"/>
    </row>
    <row r="124" spans="1:49" ht="12.75" hidden="1" x14ac:dyDescent="0.2">
      <c r="A124" s="261" t="s">
        <v>450</v>
      </c>
      <c r="B124" s="268">
        <v>0.1371</v>
      </c>
      <c r="C124" s="162"/>
      <c r="D124" s="162"/>
      <c r="E124" s="162"/>
      <c r="F124" s="162"/>
      <c r="G124" s="162"/>
      <c r="H124" s="162"/>
      <c r="I124" s="162"/>
      <c r="J124" s="162"/>
      <c r="K124" s="162"/>
      <c r="L124" s="162"/>
      <c r="M124" s="162"/>
      <c r="N124" s="162"/>
      <c r="O124" s="162"/>
      <c r="P124" s="162"/>
      <c r="Q124" s="162"/>
      <c r="R124" s="162"/>
      <c r="S124" s="162"/>
      <c r="T124" s="162"/>
      <c r="U124" s="162"/>
      <c r="V124" s="162"/>
      <c r="W124" s="162"/>
      <c r="X124" s="162"/>
      <c r="Y124" s="162"/>
      <c r="Z124" s="162"/>
      <c r="AA124" s="162"/>
      <c r="AB124" s="162"/>
      <c r="AC124" s="162"/>
      <c r="AD124" s="162"/>
      <c r="AE124" s="162"/>
      <c r="AF124" s="162"/>
      <c r="AG124" s="162"/>
      <c r="AH124" s="162"/>
      <c r="AI124" s="162"/>
      <c r="AJ124" s="162"/>
      <c r="AK124" s="162"/>
      <c r="AL124" s="162"/>
      <c r="AM124" s="162"/>
      <c r="AN124" s="162"/>
      <c r="AO124" s="162"/>
      <c r="AP124" s="162"/>
      <c r="AQ124" s="162"/>
      <c r="AR124" s="162"/>
      <c r="AS124" s="162"/>
      <c r="AT124" s="162"/>
      <c r="AU124" s="162"/>
      <c r="AV124" s="162"/>
      <c r="AW124" s="162"/>
    </row>
    <row r="125" spans="1:49" ht="15" hidden="1" x14ac:dyDescent="0.2">
      <c r="A125" s="375"/>
      <c r="B125" s="376">
        <v>2024</v>
      </c>
      <c r="C125" s="377">
        <v>2025</v>
      </c>
      <c r="D125" s="377">
        <v>2026</v>
      </c>
      <c r="E125" s="377">
        <v>2027</v>
      </c>
      <c r="F125" s="377">
        <v>2028</v>
      </c>
      <c r="G125" s="377">
        <v>2029</v>
      </c>
      <c r="H125" s="162"/>
      <c r="I125" s="162"/>
      <c r="J125" s="162"/>
      <c r="K125" s="162"/>
      <c r="L125" s="162"/>
      <c r="M125" s="162"/>
      <c r="N125" s="162"/>
      <c r="O125" s="162"/>
      <c r="P125" s="162"/>
      <c r="Q125" s="162"/>
      <c r="R125" s="162"/>
      <c r="S125" s="162"/>
      <c r="T125" s="162"/>
      <c r="U125" s="162"/>
      <c r="V125" s="162"/>
      <c r="W125" s="162"/>
      <c r="X125" s="162"/>
      <c r="Y125" s="162"/>
      <c r="Z125" s="162"/>
      <c r="AA125" s="162"/>
      <c r="AB125" s="162"/>
      <c r="AC125" s="162"/>
      <c r="AD125" s="162"/>
      <c r="AE125" s="162"/>
      <c r="AF125" s="162"/>
      <c r="AG125" s="162"/>
      <c r="AH125" s="162"/>
      <c r="AI125" s="162"/>
      <c r="AJ125" s="162"/>
      <c r="AK125" s="162"/>
      <c r="AL125" s="162"/>
      <c r="AM125" s="162"/>
      <c r="AN125" s="162"/>
      <c r="AO125" s="162"/>
      <c r="AP125" s="162"/>
      <c r="AQ125" s="162"/>
      <c r="AR125" s="162"/>
      <c r="AS125" s="162"/>
      <c r="AT125" s="162"/>
      <c r="AU125" s="162"/>
      <c r="AV125" s="162"/>
      <c r="AW125" s="162"/>
    </row>
    <row r="126" spans="1:49" ht="22.5" hidden="1" customHeight="1" x14ac:dyDescent="0.2">
      <c r="A126" s="378" t="s">
        <v>596</v>
      </c>
      <c r="B126" s="411">
        <v>2449.0500000000002</v>
      </c>
      <c r="C126" s="411">
        <v>2750.9</v>
      </c>
      <c r="D126" s="411">
        <v>3022.14</v>
      </c>
      <c r="E126" s="411">
        <v>3178.91</v>
      </c>
      <c r="F126" s="411">
        <v>3307.64</v>
      </c>
      <c r="G126" s="411">
        <v>3439.95</v>
      </c>
      <c r="H126" s="162"/>
      <c r="I126" s="162"/>
      <c r="J126" s="162"/>
      <c r="K126" s="162"/>
      <c r="L126" s="162"/>
      <c r="M126" s="162"/>
      <c r="N126" s="162"/>
      <c r="O126" s="162"/>
      <c r="P126" s="162"/>
      <c r="Q126" s="162"/>
      <c r="R126" s="162"/>
      <c r="S126" s="162"/>
      <c r="T126" s="162"/>
      <c r="U126" s="162"/>
      <c r="V126" s="162"/>
      <c r="W126" s="162"/>
      <c r="X126" s="162"/>
      <c r="Y126" s="162"/>
      <c r="Z126" s="162"/>
      <c r="AA126" s="162"/>
      <c r="AB126" s="162"/>
      <c r="AC126" s="162"/>
      <c r="AD126" s="162"/>
      <c r="AE126" s="162"/>
      <c r="AF126" s="162"/>
      <c r="AG126" s="162"/>
      <c r="AL126" s="162"/>
      <c r="AM126" s="162"/>
      <c r="AN126" s="162"/>
      <c r="AO126" s="162"/>
      <c r="AP126" s="162"/>
      <c r="AQ126" s="162"/>
      <c r="AR126" s="162"/>
      <c r="AS126" s="162"/>
      <c r="AT126" s="162"/>
      <c r="AU126" s="162"/>
      <c r="AV126" s="162"/>
      <c r="AW126" s="162"/>
    </row>
    <row r="127" spans="1:49" hidden="1" x14ac:dyDescent="0.2">
      <c r="A127" s="261" t="s">
        <v>451</v>
      </c>
      <c r="C127" s="167"/>
      <c r="D127" s="167"/>
      <c r="E127" s="167"/>
      <c r="F127" s="167"/>
      <c r="G127" s="167"/>
      <c r="H127" s="167"/>
      <c r="I127" s="167"/>
      <c r="J127" s="167"/>
      <c r="K127" s="167"/>
      <c r="L127" s="167"/>
      <c r="M127" s="167"/>
      <c r="N127" s="167"/>
      <c r="O127" s="167"/>
      <c r="P127" s="167"/>
      <c r="Q127" s="167"/>
      <c r="R127" s="167"/>
      <c r="S127" s="167"/>
      <c r="T127" s="167"/>
      <c r="U127" s="167"/>
      <c r="V127" s="167"/>
      <c r="W127" s="167"/>
      <c r="X127" s="167"/>
      <c r="Y127" s="167"/>
      <c r="Z127" s="167"/>
      <c r="AA127" s="167"/>
      <c r="AB127" s="167"/>
      <c r="AC127" s="167"/>
      <c r="AD127" s="167"/>
      <c r="AE127" s="167"/>
      <c r="AF127" s="167"/>
      <c r="AG127" s="167"/>
      <c r="AL127" s="167"/>
      <c r="AM127" s="167"/>
      <c r="AN127" s="167"/>
      <c r="AO127" s="167"/>
      <c r="AP127" s="167"/>
      <c r="AQ127" s="167"/>
      <c r="AR127" s="167"/>
      <c r="AS127" s="167"/>
      <c r="AT127" s="167"/>
      <c r="AU127" s="167"/>
      <c r="AV127" s="167"/>
      <c r="AW127" s="167"/>
    </row>
    <row r="128" spans="1:49" ht="12.75" hidden="1" x14ac:dyDescent="0.2">
      <c r="A128" s="261"/>
      <c r="B128" s="269">
        <v>2023</v>
      </c>
      <c r="C128" s="269">
        <f>B128+1</f>
        <v>2024</v>
      </c>
      <c r="D128" s="269">
        <f t="shared" ref="D128:AH128" si="41">C128+1</f>
        <v>2025</v>
      </c>
      <c r="E128" s="269">
        <f t="shared" si="41"/>
        <v>2026</v>
      </c>
      <c r="F128" s="269">
        <f t="shared" si="41"/>
        <v>2027</v>
      </c>
      <c r="G128" s="269">
        <f t="shared" si="41"/>
        <v>2028</v>
      </c>
      <c r="H128" s="269">
        <f t="shared" si="41"/>
        <v>2029</v>
      </c>
      <c r="I128" s="269">
        <f t="shared" si="41"/>
        <v>2030</v>
      </c>
      <c r="J128" s="269">
        <f t="shared" si="41"/>
        <v>2031</v>
      </c>
      <c r="K128" s="269">
        <f t="shared" si="41"/>
        <v>2032</v>
      </c>
      <c r="L128" s="269">
        <f t="shared" si="41"/>
        <v>2033</v>
      </c>
      <c r="M128" s="269">
        <f t="shared" si="41"/>
        <v>2034</v>
      </c>
      <c r="N128" s="269">
        <f t="shared" si="41"/>
        <v>2035</v>
      </c>
      <c r="O128" s="269">
        <f t="shared" si="41"/>
        <v>2036</v>
      </c>
      <c r="P128" s="269">
        <f t="shared" si="41"/>
        <v>2037</v>
      </c>
      <c r="Q128" s="269">
        <f t="shared" si="41"/>
        <v>2038</v>
      </c>
      <c r="R128" s="269">
        <f t="shared" si="41"/>
        <v>2039</v>
      </c>
      <c r="S128" s="269">
        <f t="shared" si="41"/>
        <v>2040</v>
      </c>
      <c r="T128" s="269">
        <f t="shared" si="41"/>
        <v>2041</v>
      </c>
      <c r="U128" s="269">
        <f t="shared" si="41"/>
        <v>2042</v>
      </c>
      <c r="V128" s="269">
        <f t="shared" si="41"/>
        <v>2043</v>
      </c>
      <c r="W128" s="269">
        <f t="shared" si="41"/>
        <v>2044</v>
      </c>
      <c r="X128" s="269">
        <f t="shared" si="41"/>
        <v>2045</v>
      </c>
      <c r="Y128" s="269">
        <f t="shared" si="41"/>
        <v>2046</v>
      </c>
      <c r="Z128" s="269">
        <f t="shared" si="41"/>
        <v>2047</v>
      </c>
      <c r="AA128" s="269">
        <f t="shared" si="41"/>
        <v>2048</v>
      </c>
      <c r="AB128" s="269">
        <f t="shared" si="41"/>
        <v>2049</v>
      </c>
      <c r="AC128" s="269">
        <f t="shared" si="41"/>
        <v>2050</v>
      </c>
      <c r="AD128" s="269">
        <f t="shared" si="41"/>
        <v>2051</v>
      </c>
      <c r="AE128" s="269">
        <f t="shared" si="41"/>
        <v>2052</v>
      </c>
      <c r="AF128" s="269">
        <f t="shared" si="41"/>
        <v>2053</v>
      </c>
      <c r="AG128" s="269">
        <f t="shared" si="41"/>
        <v>2054</v>
      </c>
      <c r="AH128" s="269">
        <f t="shared" si="41"/>
        <v>2055</v>
      </c>
    </row>
    <row r="129" spans="1:49" ht="15" hidden="1" x14ac:dyDescent="0.2">
      <c r="A129" s="261" t="s">
        <v>452</v>
      </c>
      <c r="B129" s="379">
        <v>9.0964662608273128E-2</v>
      </c>
      <c r="C129" s="382">
        <v>9.1135032622053413E-2</v>
      </c>
      <c r="D129" s="379">
        <v>7.8163170639641913E-2</v>
      </c>
      <c r="E129" s="379">
        <v>5.2628968689616612E-2</v>
      </c>
      <c r="F129" s="379">
        <v>4.4208979893394937E-2</v>
      </c>
      <c r="G129" s="379">
        <f>F129</f>
        <v>4.4208979893394937E-2</v>
      </c>
      <c r="H129" s="379">
        <f t="shared" ref="H129:M129" si="42">G129</f>
        <v>4.4208979893394937E-2</v>
      </c>
      <c r="I129" s="379">
        <f t="shared" si="42"/>
        <v>4.4208979893394937E-2</v>
      </c>
      <c r="J129" s="379">
        <f t="shared" si="42"/>
        <v>4.4208979893394937E-2</v>
      </c>
      <c r="K129" s="379">
        <f t="shared" si="42"/>
        <v>4.4208979893394937E-2</v>
      </c>
      <c r="L129" s="379">
        <f t="shared" si="42"/>
        <v>4.4208979893394937E-2</v>
      </c>
      <c r="M129" s="379">
        <f t="shared" si="42"/>
        <v>4.4208979893394937E-2</v>
      </c>
      <c r="N129" s="271">
        <f t="shared" ref="N129:AH129" si="43">M129</f>
        <v>4.4208979893394937E-2</v>
      </c>
      <c r="O129" s="271">
        <f t="shared" si="43"/>
        <v>4.4208979893394937E-2</v>
      </c>
      <c r="P129" s="271">
        <f t="shared" si="43"/>
        <v>4.4208979893394937E-2</v>
      </c>
      <c r="Q129" s="271">
        <f t="shared" si="43"/>
        <v>4.4208979893394937E-2</v>
      </c>
      <c r="R129" s="271">
        <f t="shared" si="43"/>
        <v>4.4208979893394937E-2</v>
      </c>
      <c r="S129" s="271">
        <f t="shared" si="43"/>
        <v>4.4208979893394937E-2</v>
      </c>
      <c r="T129" s="271">
        <f t="shared" si="43"/>
        <v>4.4208979893394937E-2</v>
      </c>
      <c r="U129" s="271">
        <f t="shared" si="43"/>
        <v>4.4208979893394937E-2</v>
      </c>
      <c r="V129" s="271">
        <f t="shared" si="43"/>
        <v>4.4208979893394937E-2</v>
      </c>
      <c r="W129" s="271">
        <f t="shared" si="43"/>
        <v>4.4208979893394937E-2</v>
      </c>
      <c r="X129" s="271">
        <f t="shared" si="43"/>
        <v>4.4208979893394937E-2</v>
      </c>
      <c r="Y129" s="271">
        <f t="shared" si="43"/>
        <v>4.4208979893394937E-2</v>
      </c>
      <c r="Z129" s="271">
        <f t="shared" si="43"/>
        <v>4.4208979893394937E-2</v>
      </c>
      <c r="AA129" s="271">
        <f t="shared" si="43"/>
        <v>4.4208979893394937E-2</v>
      </c>
      <c r="AB129" s="271">
        <f t="shared" si="43"/>
        <v>4.4208979893394937E-2</v>
      </c>
      <c r="AC129" s="271">
        <f t="shared" si="43"/>
        <v>4.4208979893394937E-2</v>
      </c>
      <c r="AD129" s="271">
        <f t="shared" si="43"/>
        <v>4.4208979893394937E-2</v>
      </c>
      <c r="AE129" s="271">
        <f t="shared" si="43"/>
        <v>4.4208979893394937E-2</v>
      </c>
      <c r="AF129" s="271">
        <f t="shared" si="43"/>
        <v>4.4208979893394937E-2</v>
      </c>
      <c r="AG129" s="271">
        <f t="shared" si="43"/>
        <v>4.4208979893394937E-2</v>
      </c>
      <c r="AH129" s="271">
        <f t="shared" si="43"/>
        <v>4.4208979893394937E-2</v>
      </c>
    </row>
    <row r="130" spans="1:49" s="136" customFormat="1" ht="15" hidden="1" x14ac:dyDescent="0.2">
      <c r="A130" s="261" t="s">
        <v>453</v>
      </c>
      <c r="B130" s="272">
        <f>B129</f>
        <v>9.0964662608273128E-2</v>
      </c>
      <c r="C130" s="382">
        <f>C129</f>
        <v>9.1135032622053413E-2</v>
      </c>
      <c r="D130" s="272">
        <f>(1+C130)*(1+D129)-1</f>
        <v>0.17642160636778237</v>
      </c>
      <c r="E130" s="272">
        <f>(1+D130)*(1+E129)-1</f>
        <v>0.23833546225510083</v>
      </c>
      <c r="F130" s="272">
        <f t="shared" ref="F130:AH130" si="44">(1+E130)*(1+F129)-1</f>
        <v>0.29308100980721452</v>
      </c>
      <c r="G130" s="272">
        <f>(1+F130)*(1+G129)-1</f>
        <v>0.35024680217031245</v>
      </c>
      <c r="H130" s="272">
        <f t="shared" si="44"/>
        <v>0.40993983589858063</v>
      </c>
      <c r="I130" s="272">
        <f t="shared" si="44"/>
        <v>0.47227183775471748</v>
      </c>
      <c r="J130" s="272">
        <f t="shared" si="44"/>
        <v>0.53735947382762728</v>
      </c>
      <c r="K130" s="272">
        <f t="shared" si="44"/>
        <v>0.605324567894993</v>
      </c>
      <c r="L130" s="272">
        <f t="shared" si="44"/>
        <v>0.67629432943943568</v>
      </c>
      <c r="M130" s="272">
        <f t="shared" si="44"/>
        <v>0.75040159174503551</v>
      </c>
      <c r="N130" s="272">
        <f t="shared" si="44"/>
        <v>0.82778506051985823</v>
      </c>
      <c r="O130" s="272">
        <f t="shared" si="44"/>
        <v>0.90858957350982816</v>
      </c>
      <c r="P130" s="272">
        <f t="shared" si="44"/>
        <v>0.99296637158986734</v>
      </c>
      <c r="Q130" s="272">
        <f t="shared" si="44"/>
        <v>1.0810733818396958</v>
      </c>
      <c r="R130" s="272">
        <f t="shared" si="44"/>
        <v>1.1730755131341262</v>
      </c>
      <c r="S130" s="272">
        <f t="shared" si="44"/>
        <v>1.2691449648011015</v>
      </c>
      <c r="T130" s="272">
        <f t="shared" si="44"/>
        <v>1.3694615489251918</v>
      </c>
      <c r="U130" s="272">
        <f t="shared" si="44"/>
        <v>1.4742130268997977</v>
      </c>
      <c r="V130" s="272">
        <f t="shared" si="44"/>
        <v>1.5835954608579867</v>
      </c>
      <c r="W130" s="272">
        <f t="shared" si="44"/>
        <v>1.6978135806397239</v>
      </c>
      <c r="X130" s="272">
        <f t="shared" si="44"/>
        <v>1.8170811669823532</v>
      </c>
      <c r="Y130" s="272">
        <f t="shared" si="44"/>
        <v>1.9416214516515375</v>
      </c>
      <c r="Z130" s="272">
        <f t="shared" si="44"/>
        <v>2.0716675352615797</v>
      </c>
      <c r="AA130" s="272">
        <f t="shared" si="44"/>
        <v>2.2074628235671527</v>
      </c>
      <c r="AB130" s="272">
        <f t="shared" si="44"/>
        <v>2.3492614830430445</v>
      </c>
      <c r="AC130" s="272">
        <f t="shared" si="44"/>
        <v>2.4973289166046162</v>
      </c>
      <c r="AD130" s="272">
        <f t="shared" si="44"/>
        <v>2.6519422603593781</v>
      </c>
      <c r="AE130" s="272">
        <f t="shared" si="44"/>
        <v>2.813390902319445</v>
      </c>
      <c r="AF130" s="272">
        <f t="shared" si="44"/>
        <v>2.9819770240457402</v>
      </c>
      <c r="AG130" s="272">
        <f t="shared" si="44"/>
        <v>3.1580161662377391</v>
      </c>
      <c r="AH130" s="272">
        <f t="shared" si="44"/>
        <v>3.3418378193273544</v>
      </c>
    </row>
    <row r="131" spans="1:49" s="136" customFormat="1" hidden="1" x14ac:dyDescent="0.2">
      <c r="A131" s="169"/>
      <c r="B131" s="273"/>
      <c r="C131" s="274"/>
      <c r="D131" s="274"/>
      <c r="E131" s="274"/>
      <c r="F131" s="274"/>
      <c r="G131" s="274"/>
      <c r="H131" s="274"/>
      <c r="I131" s="274"/>
      <c r="J131" s="274"/>
      <c r="K131" s="274"/>
      <c r="L131" s="274"/>
      <c r="M131" s="274"/>
      <c r="N131" s="274"/>
      <c r="O131" s="274"/>
      <c r="P131" s="274"/>
      <c r="Q131" s="274"/>
      <c r="R131" s="274"/>
      <c r="S131" s="274"/>
      <c r="T131" s="274"/>
      <c r="U131" s="274"/>
      <c r="V131" s="274"/>
      <c r="W131" s="274"/>
      <c r="X131" s="274"/>
      <c r="Y131" s="274"/>
      <c r="Z131" s="274"/>
      <c r="AA131" s="274"/>
      <c r="AB131" s="274"/>
      <c r="AC131" s="274"/>
      <c r="AD131" s="274"/>
      <c r="AE131" s="274"/>
      <c r="AF131" s="274"/>
      <c r="AG131" s="274"/>
      <c r="AH131" s="274"/>
    </row>
    <row r="132" spans="1:49" ht="12.75" hidden="1" x14ac:dyDescent="0.2">
      <c r="A132" s="164"/>
      <c r="B132" s="270">
        <v>2023</v>
      </c>
      <c r="C132" s="270">
        <f>B132+1</f>
        <v>2024</v>
      </c>
      <c r="D132" s="270">
        <f t="shared" ref="D132:S133" si="45">C132+1</f>
        <v>2025</v>
      </c>
      <c r="E132" s="270">
        <f t="shared" si="45"/>
        <v>2026</v>
      </c>
      <c r="F132" s="270">
        <f t="shared" si="45"/>
        <v>2027</v>
      </c>
      <c r="G132" s="270">
        <f t="shared" si="45"/>
        <v>2028</v>
      </c>
      <c r="H132" s="270">
        <f t="shared" si="45"/>
        <v>2029</v>
      </c>
      <c r="I132" s="270">
        <f t="shared" si="45"/>
        <v>2030</v>
      </c>
      <c r="J132" s="270">
        <f t="shared" si="45"/>
        <v>2031</v>
      </c>
      <c r="K132" s="270">
        <f t="shared" si="45"/>
        <v>2032</v>
      </c>
      <c r="L132" s="270">
        <f t="shared" si="45"/>
        <v>2033</v>
      </c>
      <c r="M132" s="270">
        <f t="shared" si="45"/>
        <v>2034</v>
      </c>
      <c r="N132" s="270">
        <f t="shared" si="45"/>
        <v>2035</v>
      </c>
      <c r="O132" s="270">
        <f t="shared" si="45"/>
        <v>2036</v>
      </c>
      <c r="P132" s="270">
        <f t="shared" si="45"/>
        <v>2037</v>
      </c>
      <c r="Q132" s="270">
        <f t="shared" si="45"/>
        <v>2038</v>
      </c>
      <c r="R132" s="270">
        <f t="shared" si="45"/>
        <v>2039</v>
      </c>
      <c r="S132" s="270">
        <f t="shared" si="45"/>
        <v>2040</v>
      </c>
      <c r="T132" s="270">
        <f t="shared" ref="T132:AH133" si="46">S132+1</f>
        <v>2041</v>
      </c>
      <c r="U132" s="270">
        <f t="shared" si="46"/>
        <v>2042</v>
      </c>
      <c r="V132" s="270">
        <f t="shared" si="46"/>
        <v>2043</v>
      </c>
      <c r="W132" s="270">
        <f t="shared" si="46"/>
        <v>2044</v>
      </c>
      <c r="X132" s="270">
        <f t="shared" si="46"/>
        <v>2045</v>
      </c>
      <c r="Y132" s="270">
        <f t="shared" si="46"/>
        <v>2046</v>
      </c>
      <c r="Z132" s="270">
        <f t="shared" si="46"/>
        <v>2047</v>
      </c>
      <c r="AA132" s="270">
        <f t="shared" si="46"/>
        <v>2048</v>
      </c>
      <c r="AB132" s="270">
        <f t="shared" si="46"/>
        <v>2049</v>
      </c>
      <c r="AC132" s="270">
        <f t="shared" si="46"/>
        <v>2050</v>
      </c>
      <c r="AD132" s="270">
        <f t="shared" si="46"/>
        <v>2051</v>
      </c>
      <c r="AE132" s="270">
        <f t="shared" si="46"/>
        <v>2052</v>
      </c>
      <c r="AF132" s="270">
        <f t="shared" si="46"/>
        <v>2053</v>
      </c>
      <c r="AG132" s="270">
        <f t="shared" si="46"/>
        <v>2054</v>
      </c>
      <c r="AH132" s="270">
        <f t="shared" si="46"/>
        <v>2055</v>
      </c>
      <c r="AI132" s="162"/>
      <c r="AJ132" s="162"/>
      <c r="AK132" s="162"/>
      <c r="AL132" s="162"/>
      <c r="AM132" s="162"/>
      <c r="AN132" s="162"/>
      <c r="AO132" s="162"/>
      <c r="AP132" s="162"/>
      <c r="AQ132" s="162"/>
      <c r="AR132" s="162"/>
      <c r="AS132" s="162"/>
      <c r="AT132" s="162"/>
      <c r="AU132" s="162"/>
      <c r="AV132" s="162"/>
      <c r="AW132" s="162"/>
    </row>
    <row r="133" spans="1:49" hidden="1" x14ac:dyDescent="0.2">
      <c r="A133" s="164"/>
      <c r="B133" s="275">
        <v>0</v>
      </c>
      <c r="C133" s="380">
        <v>1</v>
      </c>
      <c r="D133" s="275">
        <f>C133+1</f>
        <v>2</v>
      </c>
      <c r="E133" s="275">
        <f>D133+1</f>
        <v>3</v>
      </c>
      <c r="F133" s="275">
        <f t="shared" si="45"/>
        <v>4</v>
      </c>
      <c r="G133" s="275">
        <f t="shared" si="45"/>
        <v>5</v>
      </c>
      <c r="H133" s="275">
        <f t="shared" si="45"/>
        <v>6</v>
      </c>
      <c r="I133" s="275">
        <f t="shared" si="45"/>
        <v>7</v>
      </c>
      <c r="J133" s="275">
        <f t="shared" si="45"/>
        <v>8</v>
      </c>
      <c r="K133" s="275">
        <f t="shared" si="45"/>
        <v>9</v>
      </c>
      <c r="L133" s="275">
        <f t="shared" si="45"/>
        <v>10</v>
      </c>
      <c r="M133" s="275">
        <f t="shared" si="45"/>
        <v>11</v>
      </c>
      <c r="N133" s="275">
        <f t="shared" si="45"/>
        <v>12</v>
      </c>
      <c r="O133" s="275">
        <f t="shared" si="45"/>
        <v>13</v>
      </c>
      <c r="P133" s="275">
        <f t="shared" si="45"/>
        <v>14</v>
      </c>
      <c r="Q133" s="275">
        <f t="shared" si="45"/>
        <v>15</v>
      </c>
      <c r="R133" s="275">
        <f t="shared" si="45"/>
        <v>16</v>
      </c>
      <c r="S133" s="275">
        <f t="shared" si="45"/>
        <v>17</v>
      </c>
      <c r="T133" s="275">
        <f t="shared" si="46"/>
        <v>18</v>
      </c>
      <c r="U133" s="275">
        <f t="shared" si="46"/>
        <v>19</v>
      </c>
      <c r="V133" s="275">
        <f t="shared" si="46"/>
        <v>20</v>
      </c>
      <c r="W133" s="275">
        <f t="shared" si="46"/>
        <v>21</v>
      </c>
      <c r="X133" s="275">
        <f t="shared" si="46"/>
        <v>22</v>
      </c>
      <c r="Y133" s="275">
        <f t="shared" si="46"/>
        <v>23</v>
      </c>
      <c r="Z133" s="275">
        <f t="shared" si="46"/>
        <v>24</v>
      </c>
      <c r="AA133" s="275">
        <f t="shared" si="46"/>
        <v>25</v>
      </c>
      <c r="AB133" s="275">
        <f t="shared" si="46"/>
        <v>26</v>
      </c>
      <c r="AC133" s="275">
        <f t="shared" si="46"/>
        <v>27</v>
      </c>
      <c r="AD133" s="275">
        <f t="shared" si="46"/>
        <v>28</v>
      </c>
      <c r="AE133" s="275">
        <f t="shared" si="46"/>
        <v>29</v>
      </c>
      <c r="AF133" s="275">
        <f t="shared" si="46"/>
        <v>30</v>
      </c>
      <c r="AG133" s="275">
        <f t="shared" si="46"/>
        <v>31</v>
      </c>
      <c r="AH133" s="275">
        <f t="shared" si="46"/>
        <v>32</v>
      </c>
      <c r="AI133" s="162"/>
      <c r="AJ133" s="162"/>
      <c r="AK133" s="162"/>
      <c r="AL133" s="162"/>
      <c r="AM133" s="162"/>
      <c r="AN133" s="162"/>
      <c r="AO133" s="162"/>
      <c r="AP133" s="162"/>
      <c r="AQ133" s="162"/>
      <c r="AR133" s="162"/>
      <c r="AS133" s="162"/>
      <c r="AT133" s="162"/>
      <c r="AU133" s="162"/>
      <c r="AV133" s="162"/>
      <c r="AW133" s="162"/>
    </row>
    <row r="134" spans="1:49" ht="15" hidden="1" x14ac:dyDescent="0.2">
      <c r="A134" s="164"/>
      <c r="B134" s="276">
        <v>0.5</v>
      </c>
      <c r="C134" s="381">
        <f>AVERAGE(B133:C133)</f>
        <v>0.5</v>
      </c>
      <c r="D134" s="276">
        <f>AVERAGE(C133:D133)</f>
        <v>1.5</v>
      </c>
      <c r="E134" s="276">
        <f>AVERAGE(D133:E133)</f>
        <v>2.5</v>
      </c>
      <c r="F134" s="276">
        <f t="shared" ref="F134:AH134" si="47">AVERAGE(E133:F133)</f>
        <v>3.5</v>
      </c>
      <c r="G134" s="276">
        <f t="shared" si="47"/>
        <v>4.5</v>
      </c>
      <c r="H134" s="276">
        <f t="shared" si="47"/>
        <v>5.5</v>
      </c>
      <c r="I134" s="276">
        <f t="shared" si="47"/>
        <v>6.5</v>
      </c>
      <c r="J134" s="276">
        <f t="shared" si="47"/>
        <v>7.5</v>
      </c>
      <c r="K134" s="276">
        <f t="shared" si="47"/>
        <v>8.5</v>
      </c>
      <c r="L134" s="276">
        <f t="shared" si="47"/>
        <v>9.5</v>
      </c>
      <c r="M134" s="276">
        <f t="shared" si="47"/>
        <v>10.5</v>
      </c>
      <c r="N134" s="276">
        <f t="shared" si="47"/>
        <v>11.5</v>
      </c>
      <c r="O134" s="276">
        <f t="shared" si="47"/>
        <v>12.5</v>
      </c>
      <c r="P134" s="276">
        <f t="shared" si="47"/>
        <v>13.5</v>
      </c>
      <c r="Q134" s="276">
        <f t="shared" si="47"/>
        <v>14.5</v>
      </c>
      <c r="R134" s="276">
        <f t="shared" si="47"/>
        <v>15.5</v>
      </c>
      <c r="S134" s="276">
        <f t="shared" si="47"/>
        <v>16.5</v>
      </c>
      <c r="T134" s="276">
        <f t="shared" si="47"/>
        <v>17.5</v>
      </c>
      <c r="U134" s="276">
        <f t="shared" si="47"/>
        <v>18.5</v>
      </c>
      <c r="V134" s="276">
        <f t="shared" si="47"/>
        <v>19.5</v>
      </c>
      <c r="W134" s="276">
        <f t="shared" si="47"/>
        <v>20.5</v>
      </c>
      <c r="X134" s="276">
        <f t="shared" si="47"/>
        <v>21.5</v>
      </c>
      <c r="Y134" s="276">
        <f t="shared" si="47"/>
        <v>22.5</v>
      </c>
      <c r="Z134" s="276">
        <f t="shared" si="47"/>
        <v>23.5</v>
      </c>
      <c r="AA134" s="276">
        <f t="shared" si="47"/>
        <v>24.5</v>
      </c>
      <c r="AB134" s="276">
        <f t="shared" si="47"/>
        <v>25.5</v>
      </c>
      <c r="AC134" s="276">
        <f t="shared" si="47"/>
        <v>26.5</v>
      </c>
      <c r="AD134" s="276">
        <f t="shared" si="47"/>
        <v>27.5</v>
      </c>
      <c r="AE134" s="276">
        <f t="shared" si="47"/>
        <v>28.5</v>
      </c>
      <c r="AF134" s="276">
        <f t="shared" si="47"/>
        <v>29.5</v>
      </c>
      <c r="AG134" s="276">
        <f t="shared" si="47"/>
        <v>30.5</v>
      </c>
      <c r="AH134" s="276">
        <f t="shared" si="47"/>
        <v>31.5</v>
      </c>
      <c r="AI134" s="162"/>
      <c r="AJ134" s="162"/>
      <c r="AK134" s="162"/>
      <c r="AL134" s="162"/>
      <c r="AM134" s="162"/>
      <c r="AN134" s="162"/>
      <c r="AO134" s="162"/>
      <c r="AP134" s="162"/>
      <c r="AQ134" s="162"/>
      <c r="AR134" s="162"/>
      <c r="AS134" s="162"/>
      <c r="AT134" s="162"/>
      <c r="AU134" s="162"/>
      <c r="AV134" s="162"/>
      <c r="AW134" s="162"/>
    </row>
    <row r="135" spans="1:49" ht="12.75" hidden="1" x14ac:dyDescent="0.2">
      <c r="A135" s="164"/>
      <c r="B135" s="162"/>
      <c r="C135" s="162"/>
      <c r="D135" s="162"/>
      <c r="E135" s="162"/>
      <c r="F135" s="162"/>
      <c r="G135" s="162"/>
      <c r="H135" s="162"/>
      <c r="I135" s="162"/>
      <c r="J135" s="162"/>
      <c r="K135" s="162"/>
      <c r="L135" s="162"/>
      <c r="M135" s="162"/>
      <c r="N135" s="162"/>
      <c r="O135" s="162"/>
      <c r="P135" s="162"/>
      <c r="Q135" s="162"/>
      <c r="R135" s="162"/>
      <c r="S135" s="162"/>
      <c r="T135" s="162"/>
      <c r="U135" s="162"/>
      <c r="V135" s="162"/>
      <c r="W135" s="162"/>
      <c r="X135" s="162"/>
      <c r="Y135" s="162"/>
      <c r="Z135" s="162"/>
      <c r="AA135" s="162"/>
      <c r="AB135" s="162"/>
      <c r="AC135" s="162"/>
      <c r="AD135" s="162"/>
      <c r="AE135" s="162"/>
      <c r="AF135" s="162"/>
      <c r="AG135" s="162"/>
      <c r="AH135" s="162"/>
      <c r="AI135" s="162"/>
      <c r="AJ135" s="162"/>
      <c r="AK135" s="162"/>
      <c r="AL135" s="162"/>
      <c r="AM135" s="162"/>
      <c r="AN135" s="162"/>
      <c r="AO135" s="162"/>
      <c r="AP135" s="162"/>
      <c r="AQ135" s="162"/>
      <c r="AR135" s="162"/>
      <c r="AS135" s="162"/>
      <c r="AT135" s="162"/>
      <c r="AU135" s="162"/>
      <c r="AV135" s="162"/>
      <c r="AW135" s="162"/>
    </row>
    <row r="136" spans="1:49" ht="12.75" hidden="1" x14ac:dyDescent="0.2">
      <c r="A136" s="164"/>
      <c r="B136" s="162"/>
      <c r="C136" s="162"/>
      <c r="D136" s="162"/>
      <c r="E136" s="162"/>
      <c r="F136" s="162"/>
      <c r="G136" s="162"/>
      <c r="H136" s="162"/>
      <c r="I136" s="162"/>
      <c r="J136" s="162"/>
      <c r="K136" s="162"/>
      <c r="L136" s="162"/>
      <c r="M136" s="162"/>
      <c r="N136" s="162"/>
      <c r="O136" s="162"/>
      <c r="P136" s="162"/>
      <c r="Q136" s="162"/>
      <c r="R136" s="162"/>
      <c r="S136" s="162"/>
      <c r="T136" s="162"/>
      <c r="U136" s="162"/>
      <c r="V136" s="162"/>
      <c r="W136" s="162"/>
      <c r="X136" s="162"/>
      <c r="Y136" s="162"/>
      <c r="Z136" s="162"/>
      <c r="AA136" s="162"/>
      <c r="AB136" s="162"/>
      <c r="AC136" s="162"/>
      <c r="AD136" s="162"/>
      <c r="AE136" s="162"/>
      <c r="AF136" s="162"/>
      <c r="AG136" s="162"/>
      <c r="AH136" s="162"/>
      <c r="AI136" s="162"/>
      <c r="AJ136" s="162"/>
      <c r="AK136" s="162"/>
      <c r="AL136" s="162"/>
      <c r="AM136" s="162"/>
      <c r="AN136" s="162"/>
      <c r="AO136" s="162"/>
      <c r="AP136" s="162"/>
      <c r="AQ136" s="162"/>
      <c r="AR136" s="162"/>
      <c r="AS136" s="162"/>
      <c r="AT136" s="162"/>
      <c r="AU136" s="162"/>
      <c r="AV136" s="162"/>
      <c r="AW136" s="162"/>
    </row>
    <row r="137" spans="1:49" ht="12.75" hidden="1" x14ac:dyDescent="0.2">
      <c r="A137" s="164"/>
      <c r="B137" s="162"/>
      <c r="C137" s="162"/>
      <c r="D137" s="162"/>
      <c r="E137" s="162"/>
      <c r="F137" s="162"/>
      <c r="G137" s="162"/>
      <c r="H137" s="162"/>
      <c r="I137" s="162"/>
      <c r="J137" s="162"/>
      <c r="K137" s="162"/>
      <c r="L137" s="162"/>
      <c r="M137" s="162"/>
      <c r="N137" s="162"/>
      <c r="O137" s="162"/>
      <c r="P137" s="162"/>
      <c r="Q137" s="162"/>
      <c r="R137" s="162"/>
      <c r="S137" s="162"/>
      <c r="T137" s="162"/>
      <c r="U137" s="162"/>
      <c r="V137" s="162"/>
      <c r="W137" s="162"/>
      <c r="X137" s="162"/>
      <c r="Y137" s="162"/>
      <c r="Z137" s="162"/>
      <c r="AA137" s="162"/>
      <c r="AB137" s="162"/>
      <c r="AC137" s="162"/>
      <c r="AD137" s="162"/>
      <c r="AE137" s="162"/>
      <c r="AF137" s="162"/>
      <c r="AG137" s="162"/>
      <c r="AH137" s="162"/>
      <c r="AI137" s="162"/>
      <c r="AJ137" s="162"/>
      <c r="AK137" s="162"/>
      <c r="AL137" s="162"/>
      <c r="AM137" s="162"/>
      <c r="AN137" s="162"/>
      <c r="AO137" s="162"/>
      <c r="AP137" s="162"/>
      <c r="AQ137" s="162"/>
      <c r="AR137" s="162"/>
      <c r="AS137" s="162"/>
      <c r="AT137" s="162"/>
      <c r="AU137" s="162"/>
      <c r="AV137" s="162"/>
      <c r="AW137" s="162"/>
    </row>
    <row r="138" spans="1:49" ht="12.75" hidden="1" x14ac:dyDescent="0.2">
      <c r="A138" s="164"/>
      <c r="B138" s="162"/>
      <c r="C138" s="162"/>
      <c r="D138" s="162"/>
      <c r="E138" s="162"/>
      <c r="F138" s="162"/>
      <c r="G138" s="162"/>
      <c r="H138" s="162"/>
      <c r="I138" s="162"/>
      <c r="J138" s="162"/>
      <c r="K138" s="162"/>
      <c r="L138" s="162"/>
      <c r="M138" s="162"/>
      <c r="N138" s="162"/>
      <c r="O138" s="162"/>
      <c r="P138" s="162"/>
      <c r="Q138" s="162"/>
      <c r="R138" s="162"/>
      <c r="S138" s="162"/>
      <c r="T138" s="162"/>
      <c r="U138" s="162"/>
      <c r="V138" s="162"/>
      <c r="W138" s="162"/>
      <c r="X138" s="162"/>
      <c r="Y138" s="162"/>
      <c r="Z138" s="162"/>
      <c r="AA138" s="162"/>
      <c r="AB138" s="162"/>
      <c r="AC138" s="162"/>
      <c r="AD138" s="162"/>
      <c r="AE138" s="162"/>
      <c r="AF138" s="162"/>
      <c r="AG138" s="162"/>
      <c r="AH138" s="162"/>
      <c r="AI138" s="162"/>
      <c r="AJ138" s="162"/>
      <c r="AK138" s="162"/>
      <c r="AL138" s="162"/>
      <c r="AM138" s="162"/>
      <c r="AN138" s="162"/>
      <c r="AO138" s="162"/>
      <c r="AP138" s="162"/>
      <c r="AQ138" s="162"/>
      <c r="AR138" s="162"/>
      <c r="AS138" s="162"/>
      <c r="AT138" s="162"/>
      <c r="AU138" s="162"/>
      <c r="AV138" s="162"/>
      <c r="AW138" s="162"/>
    </row>
    <row r="139" spans="1:49" ht="12.75" hidden="1" x14ac:dyDescent="0.2">
      <c r="A139" s="164"/>
      <c r="B139" s="162"/>
      <c r="C139" s="162"/>
      <c r="D139" s="162"/>
      <c r="E139" s="162"/>
      <c r="F139" s="162"/>
      <c r="G139" s="162"/>
      <c r="H139" s="162"/>
      <c r="I139" s="162"/>
      <c r="J139" s="162"/>
      <c r="K139" s="162"/>
      <c r="L139" s="162"/>
      <c r="M139" s="162"/>
      <c r="N139" s="162"/>
      <c r="O139" s="162"/>
      <c r="P139" s="162"/>
      <c r="Q139" s="162"/>
      <c r="R139" s="162"/>
      <c r="S139" s="162"/>
      <c r="T139" s="162"/>
      <c r="U139" s="162"/>
      <c r="V139" s="162"/>
      <c r="W139" s="162"/>
      <c r="X139" s="162"/>
      <c r="Y139" s="162"/>
      <c r="Z139" s="162"/>
      <c r="AA139" s="162"/>
      <c r="AB139" s="162"/>
      <c r="AC139" s="162"/>
      <c r="AD139" s="162"/>
      <c r="AE139" s="162"/>
      <c r="AF139" s="162"/>
      <c r="AG139" s="162"/>
      <c r="AH139" s="162"/>
      <c r="AI139" s="162"/>
      <c r="AJ139" s="162"/>
      <c r="AK139" s="162"/>
      <c r="AL139" s="162"/>
      <c r="AM139" s="162"/>
      <c r="AN139" s="162"/>
      <c r="AO139" s="162"/>
      <c r="AP139" s="162"/>
      <c r="AQ139" s="162"/>
      <c r="AR139" s="162"/>
      <c r="AS139" s="162"/>
      <c r="AT139" s="162"/>
      <c r="AU139" s="162"/>
      <c r="AV139" s="162"/>
      <c r="AW139" s="162"/>
    </row>
    <row r="140" spans="1:49" ht="12.75" hidden="1" x14ac:dyDescent="0.2">
      <c r="A140" s="164"/>
      <c r="B140" s="162"/>
      <c r="C140" s="162"/>
      <c r="D140" s="162"/>
      <c r="E140" s="162"/>
      <c r="F140" s="162"/>
      <c r="G140" s="162"/>
      <c r="H140" s="162"/>
      <c r="I140" s="162"/>
      <c r="J140" s="162"/>
      <c r="K140" s="162"/>
      <c r="L140" s="162"/>
      <c r="M140" s="162"/>
      <c r="N140" s="162"/>
      <c r="O140" s="162"/>
      <c r="P140" s="162"/>
      <c r="Q140" s="162"/>
      <c r="R140" s="162"/>
      <c r="S140" s="162"/>
      <c r="T140" s="162"/>
      <c r="U140" s="162"/>
      <c r="V140" s="162"/>
      <c r="W140" s="162"/>
      <c r="X140" s="162"/>
      <c r="Y140" s="162"/>
      <c r="Z140" s="162"/>
      <c r="AA140" s="162"/>
      <c r="AB140" s="162"/>
      <c r="AC140" s="162"/>
      <c r="AD140" s="162"/>
      <c r="AE140" s="162"/>
      <c r="AF140" s="162"/>
      <c r="AG140" s="162"/>
      <c r="AH140" s="162"/>
      <c r="AI140" s="162"/>
      <c r="AJ140" s="162"/>
      <c r="AK140" s="162"/>
      <c r="AL140" s="162"/>
      <c r="AM140" s="162"/>
      <c r="AN140" s="162"/>
      <c r="AO140" s="162"/>
      <c r="AP140" s="162"/>
      <c r="AQ140" s="162"/>
      <c r="AR140" s="162"/>
      <c r="AS140" s="162"/>
      <c r="AT140" s="162"/>
      <c r="AU140" s="162"/>
      <c r="AV140" s="162"/>
      <c r="AW140" s="162"/>
    </row>
    <row r="141" spans="1:49" ht="12.75" hidden="1" x14ac:dyDescent="0.2">
      <c r="A141" s="164"/>
      <c r="B141" s="162"/>
      <c r="C141" s="162"/>
      <c r="D141" s="162"/>
      <c r="E141" s="162"/>
      <c r="F141" s="162"/>
      <c r="G141" s="162"/>
      <c r="H141" s="162"/>
      <c r="I141" s="162"/>
      <c r="J141" s="162"/>
      <c r="K141" s="162"/>
      <c r="L141" s="162"/>
      <c r="M141" s="162"/>
      <c r="N141" s="162"/>
      <c r="O141" s="162"/>
      <c r="P141" s="162"/>
      <c r="Q141" s="162"/>
      <c r="R141" s="162"/>
      <c r="S141" s="162"/>
      <c r="T141" s="162"/>
      <c r="U141" s="162"/>
      <c r="V141" s="162"/>
      <c r="W141" s="162"/>
      <c r="X141" s="162"/>
      <c r="Y141" s="162"/>
      <c r="Z141" s="162"/>
      <c r="AA141" s="162"/>
      <c r="AB141" s="162"/>
      <c r="AC141" s="162"/>
      <c r="AD141" s="162"/>
      <c r="AE141" s="162"/>
      <c r="AF141" s="162"/>
      <c r="AG141" s="162"/>
      <c r="AH141" s="162"/>
      <c r="AI141" s="162"/>
      <c r="AJ141" s="162"/>
      <c r="AK141" s="162"/>
      <c r="AL141" s="162"/>
      <c r="AM141" s="162"/>
      <c r="AN141" s="162"/>
      <c r="AO141" s="162"/>
      <c r="AP141" s="162"/>
      <c r="AQ141" s="162"/>
      <c r="AR141" s="162"/>
      <c r="AS141" s="162"/>
      <c r="AT141" s="162"/>
      <c r="AU141" s="162"/>
      <c r="AV141" s="162"/>
      <c r="AW141" s="162"/>
    </row>
    <row r="142" spans="1:49" ht="12.75" hidden="1" x14ac:dyDescent="0.2">
      <c r="A142" s="164"/>
      <c r="B142" s="162"/>
      <c r="C142" s="162"/>
      <c r="D142" s="162"/>
      <c r="E142" s="162"/>
      <c r="F142" s="162"/>
      <c r="G142" s="162"/>
      <c r="H142" s="162"/>
      <c r="I142" s="162"/>
      <c r="J142" s="162"/>
      <c r="K142" s="162"/>
      <c r="L142" s="162"/>
      <c r="M142" s="162"/>
      <c r="N142" s="162"/>
      <c r="O142" s="162"/>
      <c r="P142" s="162"/>
      <c r="Q142" s="162"/>
      <c r="R142" s="162"/>
      <c r="S142" s="162"/>
      <c r="T142" s="162"/>
      <c r="U142" s="162"/>
      <c r="V142" s="162"/>
      <c r="W142" s="162"/>
      <c r="X142" s="162"/>
      <c r="Y142" s="162"/>
      <c r="Z142" s="162"/>
      <c r="AA142" s="162"/>
      <c r="AB142" s="162"/>
      <c r="AC142" s="162"/>
      <c r="AD142" s="162"/>
      <c r="AE142" s="162"/>
      <c r="AF142" s="162"/>
      <c r="AG142" s="162"/>
      <c r="AH142" s="162"/>
      <c r="AI142" s="162"/>
      <c r="AJ142" s="162"/>
      <c r="AK142" s="162"/>
      <c r="AL142" s="162"/>
      <c r="AM142" s="162"/>
      <c r="AN142" s="162"/>
      <c r="AO142" s="162"/>
      <c r="AP142" s="162"/>
      <c r="AQ142" s="162"/>
      <c r="AR142" s="162"/>
      <c r="AS142" s="162"/>
      <c r="AT142" s="162"/>
      <c r="AU142" s="162"/>
      <c r="AV142" s="162"/>
      <c r="AW142" s="162"/>
    </row>
    <row r="143" spans="1:49" ht="12.75" hidden="1" x14ac:dyDescent="0.2">
      <c r="A143" s="164"/>
      <c r="B143" s="162"/>
      <c r="C143" s="162"/>
      <c r="D143" s="162"/>
      <c r="E143" s="162"/>
      <c r="F143" s="162"/>
      <c r="G143" s="162"/>
      <c r="H143" s="162"/>
      <c r="I143" s="162"/>
      <c r="J143" s="162"/>
      <c r="K143" s="162"/>
      <c r="L143" s="162"/>
      <c r="M143" s="162"/>
      <c r="N143" s="162"/>
      <c r="O143" s="162"/>
      <c r="P143" s="162"/>
      <c r="Q143" s="162"/>
      <c r="R143" s="162"/>
      <c r="S143" s="162"/>
      <c r="T143" s="162"/>
      <c r="U143" s="162"/>
      <c r="V143" s="162"/>
      <c r="W143" s="162"/>
      <c r="X143" s="162"/>
      <c r="Y143" s="162"/>
      <c r="Z143" s="162"/>
      <c r="AA143" s="162"/>
      <c r="AB143" s="162"/>
      <c r="AC143" s="162"/>
      <c r="AD143" s="162"/>
      <c r="AE143" s="162"/>
      <c r="AF143" s="162"/>
      <c r="AG143" s="162"/>
      <c r="AH143" s="162"/>
      <c r="AI143" s="162"/>
      <c r="AJ143" s="162"/>
      <c r="AK143" s="162"/>
      <c r="AL143" s="162"/>
      <c r="AM143" s="162"/>
      <c r="AN143" s="162"/>
      <c r="AO143" s="162"/>
      <c r="AP143" s="162"/>
      <c r="AQ143" s="162"/>
      <c r="AR143" s="162"/>
      <c r="AS143" s="162"/>
      <c r="AT143" s="162"/>
      <c r="AU143" s="162"/>
      <c r="AV143" s="162"/>
      <c r="AW143" s="162"/>
    </row>
    <row r="144" spans="1:49" ht="12.75" hidden="1" x14ac:dyDescent="0.2">
      <c r="A144" s="164"/>
      <c r="B144" s="162"/>
      <c r="C144" s="162"/>
      <c r="D144" s="162"/>
      <c r="E144" s="162"/>
      <c r="F144" s="162"/>
      <c r="G144" s="162"/>
      <c r="H144" s="162"/>
      <c r="I144" s="162"/>
      <c r="J144" s="162"/>
      <c r="K144" s="162"/>
      <c r="L144" s="162"/>
      <c r="M144" s="162"/>
      <c r="N144" s="162"/>
      <c r="O144" s="162"/>
      <c r="P144" s="162"/>
      <c r="Q144" s="162"/>
      <c r="R144" s="162"/>
      <c r="S144" s="162"/>
      <c r="T144" s="162"/>
      <c r="U144" s="162"/>
      <c r="V144" s="162"/>
      <c r="W144" s="162"/>
      <c r="X144" s="162"/>
      <c r="Y144" s="162"/>
      <c r="Z144" s="162"/>
      <c r="AA144" s="162"/>
      <c r="AB144" s="162"/>
      <c r="AC144" s="162"/>
      <c r="AD144" s="162"/>
      <c r="AE144" s="162"/>
      <c r="AF144" s="162"/>
      <c r="AG144" s="162"/>
      <c r="AH144" s="162"/>
      <c r="AI144" s="162"/>
      <c r="AJ144" s="162"/>
      <c r="AK144" s="162"/>
      <c r="AL144" s="162"/>
      <c r="AM144" s="162"/>
      <c r="AN144" s="162"/>
      <c r="AO144" s="162"/>
      <c r="AP144" s="162"/>
      <c r="AQ144" s="162"/>
      <c r="AR144" s="162"/>
      <c r="AS144" s="162"/>
      <c r="AT144" s="162"/>
      <c r="AU144" s="162"/>
      <c r="AV144" s="162"/>
      <c r="AW144" s="162"/>
    </row>
    <row r="145" spans="1:49" ht="12.75" hidden="1" x14ac:dyDescent="0.2">
      <c r="A145" s="164"/>
      <c r="B145" s="162"/>
      <c r="C145" s="162"/>
      <c r="D145" s="162"/>
      <c r="E145" s="162"/>
      <c r="F145" s="162"/>
      <c r="G145" s="162"/>
      <c r="H145" s="162"/>
      <c r="I145" s="162"/>
      <c r="J145" s="162"/>
      <c r="K145" s="162"/>
      <c r="L145" s="162"/>
      <c r="M145" s="162"/>
      <c r="N145" s="162"/>
      <c r="O145" s="162"/>
      <c r="P145" s="162"/>
      <c r="Q145" s="162"/>
      <c r="R145" s="162"/>
      <c r="S145" s="162"/>
      <c r="T145" s="162"/>
      <c r="U145" s="162"/>
      <c r="V145" s="162"/>
      <c r="W145" s="162"/>
      <c r="X145" s="162"/>
      <c r="Y145" s="162"/>
      <c r="Z145" s="162"/>
      <c r="AA145" s="162"/>
      <c r="AB145" s="162"/>
      <c r="AC145" s="162"/>
      <c r="AD145" s="162"/>
      <c r="AE145" s="162"/>
      <c r="AF145" s="162"/>
      <c r="AG145" s="162"/>
      <c r="AH145" s="162"/>
      <c r="AI145" s="162"/>
      <c r="AJ145" s="162"/>
      <c r="AK145" s="162"/>
      <c r="AL145" s="162"/>
      <c r="AM145" s="162"/>
      <c r="AN145" s="162"/>
      <c r="AO145" s="162"/>
      <c r="AP145" s="162"/>
      <c r="AQ145" s="162"/>
      <c r="AR145" s="162"/>
      <c r="AS145" s="162"/>
      <c r="AT145" s="162"/>
      <c r="AU145" s="162"/>
      <c r="AV145" s="162"/>
      <c r="AW145" s="162"/>
    </row>
    <row r="146" spans="1:49" ht="12.75" hidden="1" x14ac:dyDescent="0.2">
      <c r="A146" s="164"/>
      <c r="B146" s="162"/>
      <c r="C146" s="162"/>
      <c r="D146" s="162"/>
      <c r="E146" s="162"/>
      <c r="F146" s="162"/>
      <c r="G146" s="162"/>
      <c r="H146" s="162"/>
      <c r="I146" s="162"/>
      <c r="J146" s="162"/>
      <c r="K146" s="162"/>
      <c r="L146" s="162"/>
      <c r="M146" s="162"/>
      <c r="N146" s="162"/>
      <c r="O146" s="162"/>
      <c r="P146" s="162"/>
      <c r="Q146" s="162"/>
      <c r="R146" s="162"/>
      <c r="S146" s="162"/>
      <c r="T146" s="162"/>
      <c r="U146" s="162"/>
      <c r="V146" s="162"/>
      <c r="W146" s="162"/>
      <c r="X146" s="162"/>
      <c r="Y146" s="162"/>
      <c r="Z146" s="162"/>
      <c r="AA146" s="162"/>
      <c r="AB146" s="162"/>
      <c r="AC146" s="162"/>
      <c r="AD146" s="162"/>
      <c r="AE146" s="162"/>
      <c r="AF146" s="162"/>
      <c r="AG146" s="162"/>
      <c r="AH146" s="162"/>
      <c r="AI146" s="162"/>
      <c r="AJ146" s="162"/>
      <c r="AK146" s="162"/>
      <c r="AL146" s="162"/>
      <c r="AM146" s="162"/>
      <c r="AN146" s="162"/>
      <c r="AO146" s="162"/>
      <c r="AP146" s="162"/>
      <c r="AQ146" s="162"/>
      <c r="AR146" s="162"/>
      <c r="AS146" s="162"/>
      <c r="AT146" s="162"/>
      <c r="AU146" s="162"/>
      <c r="AV146" s="162"/>
      <c r="AW146" s="162"/>
    </row>
    <row r="147" spans="1:49" ht="12.75" hidden="1" x14ac:dyDescent="0.2">
      <c r="A147" s="164"/>
      <c r="B147" s="162"/>
      <c r="C147" s="162"/>
      <c r="D147" s="162"/>
      <c r="E147" s="162"/>
      <c r="F147" s="162"/>
      <c r="G147" s="162"/>
      <c r="H147" s="162"/>
      <c r="I147" s="162"/>
      <c r="J147" s="162"/>
      <c r="K147" s="162"/>
      <c r="L147" s="162"/>
      <c r="M147" s="162"/>
      <c r="N147" s="162"/>
      <c r="O147" s="162"/>
      <c r="P147" s="162"/>
      <c r="Q147" s="162"/>
      <c r="R147" s="162"/>
      <c r="S147" s="162"/>
      <c r="T147" s="162"/>
      <c r="U147" s="162"/>
      <c r="V147" s="162"/>
      <c r="W147" s="162"/>
      <c r="X147" s="162"/>
      <c r="Y147" s="162"/>
      <c r="Z147" s="162"/>
      <c r="AA147" s="162"/>
      <c r="AB147" s="162"/>
      <c r="AC147" s="162"/>
      <c r="AD147" s="162"/>
      <c r="AE147" s="162"/>
      <c r="AF147" s="162"/>
      <c r="AG147" s="162"/>
      <c r="AH147" s="162"/>
      <c r="AI147" s="162"/>
      <c r="AJ147" s="162"/>
      <c r="AK147" s="162"/>
      <c r="AL147" s="162"/>
      <c r="AM147" s="162"/>
      <c r="AN147" s="162"/>
      <c r="AO147" s="162"/>
      <c r="AP147" s="162"/>
      <c r="AQ147" s="162"/>
      <c r="AR147" s="162"/>
      <c r="AS147" s="162"/>
      <c r="AT147" s="162"/>
      <c r="AU147" s="162"/>
      <c r="AV147" s="162"/>
      <c r="AW147" s="162"/>
    </row>
    <row r="148" spans="1:49" ht="12.75" hidden="1" x14ac:dyDescent="0.2">
      <c r="A148" s="164"/>
      <c r="B148" s="162"/>
      <c r="C148" s="162"/>
      <c r="D148" s="162"/>
      <c r="E148" s="162"/>
      <c r="F148" s="162"/>
      <c r="G148" s="162"/>
      <c r="H148" s="162"/>
      <c r="I148" s="162"/>
      <c r="J148" s="162"/>
      <c r="K148" s="162"/>
      <c r="L148" s="162"/>
      <c r="M148" s="162"/>
      <c r="N148" s="162"/>
      <c r="O148" s="162"/>
      <c r="P148" s="162"/>
      <c r="Q148" s="162"/>
      <c r="R148" s="162"/>
      <c r="S148" s="162"/>
      <c r="T148" s="162"/>
      <c r="U148" s="162"/>
      <c r="V148" s="162"/>
      <c r="W148" s="162"/>
      <c r="X148" s="162"/>
      <c r="Y148" s="162"/>
      <c r="Z148" s="162"/>
      <c r="AA148" s="162"/>
      <c r="AB148" s="162"/>
      <c r="AC148" s="162"/>
      <c r="AD148" s="162"/>
      <c r="AE148" s="162"/>
      <c r="AF148" s="162"/>
      <c r="AG148" s="162"/>
      <c r="AH148" s="162"/>
      <c r="AI148" s="162"/>
      <c r="AJ148" s="162"/>
      <c r="AK148" s="162"/>
      <c r="AL148" s="162"/>
      <c r="AM148" s="162"/>
      <c r="AN148" s="162"/>
      <c r="AO148" s="162"/>
      <c r="AP148" s="162"/>
      <c r="AQ148" s="162"/>
      <c r="AR148" s="162"/>
      <c r="AS148" s="162"/>
      <c r="AT148" s="162"/>
      <c r="AU148" s="162"/>
      <c r="AV148" s="162"/>
      <c r="AW148" s="162"/>
    </row>
    <row r="149" spans="1:49" ht="12.75" hidden="1" x14ac:dyDescent="0.2">
      <c r="A149" s="163"/>
      <c r="B149" s="161"/>
      <c r="C149" s="161"/>
      <c r="D149" s="161"/>
      <c r="E149" s="161"/>
      <c r="F149" s="161"/>
      <c r="G149" s="161"/>
      <c r="H149" s="161"/>
      <c r="I149" s="161"/>
      <c r="J149" s="161"/>
      <c r="K149" s="161"/>
      <c r="L149" s="161"/>
      <c r="M149" s="161"/>
      <c r="N149" s="161"/>
      <c r="O149" s="161"/>
      <c r="P149" s="161"/>
      <c r="Q149" s="161"/>
      <c r="R149" s="161"/>
      <c r="S149" s="161"/>
      <c r="T149" s="161"/>
      <c r="U149" s="161"/>
      <c r="V149" s="161"/>
      <c r="W149" s="161"/>
      <c r="X149" s="161"/>
      <c r="Y149" s="161"/>
      <c r="Z149" s="161"/>
      <c r="AA149" s="161"/>
      <c r="AB149" s="161"/>
      <c r="AC149" s="161"/>
      <c r="AD149" s="161"/>
      <c r="AE149" s="161"/>
      <c r="AF149" s="161"/>
      <c r="AG149" s="161"/>
      <c r="AH149" s="161"/>
      <c r="AI149" s="161"/>
      <c r="AJ149" s="161"/>
      <c r="AK149" s="161"/>
      <c r="AL149" s="161"/>
      <c r="AM149" s="161"/>
      <c r="AN149" s="161"/>
      <c r="AO149" s="161"/>
      <c r="AP149" s="161"/>
      <c r="AQ149" s="161"/>
      <c r="AR149" s="161"/>
      <c r="AS149" s="161"/>
      <c r="AT149" s="161"/>
      <c r="AU149" s="161"/>
      <c r="AV149" s="161"/>
      <c r="AW149" s="161"/>
    </row>
    <row r="150" spans="1:49" ht="12.75" hidden="1" x14ac:dyDescent="0.2">
      <c r="A150" s="163"/>
      <c r="B150" s="161"/>
      <c r="C150" s="161"/>
      <c r="D150" s="161"/>
      <c r="E150" s="161"/>
      <c r="F150" s="161"/>
      <c r="G150" s="161"/>
      <c r="H150" s="161"/>
      <c r="I150" s="161"/>
      <c r="J150" s="161"/>
      <c r="K150" s="161"/>
      <c r="L150" s="161"/>
      <c r="M150" s="161"/>
      <c r="N150" s="161"/>
      <c r="O150" s="161"/>
      <c r="P150" s="161"/>
      <c r="Q150" s="161"/>
      <c r="R150" s="161"/>
      <c r="S150" s="161"/>
      <c r="T150" s="161"/>
      <c r="U150" s="161"/>
      <c r="V150" s="161"/>
      <c r="W150" s="161"/>
      <c r="X150" s="161"/>
      <c r="Y150" s="161"/>
      <c r="Z150" s="161"/>
      <c r="AA150" s="161"/>
      <c r="AB150" s="161"/>
      <c r="AC150" s="161"/>
      <c r="AD150" s="161"/>
      <c r="AE150" s="161"/>
      <c r="AF150" s="161"/>
      <c r="AG150" s="161"/>
      <c r="AH150" s="161"/>
      <c r="AI150" s="161"/>
      <c r="AJ150" s="161"/>
      <c r="AK150" s="161"/>
      <c r="AL150" s="161"/>
      <c r="AM150" s="161"/>
      <c r="AN150" s="161"/>
      <c r="AO150" s="161"/>
      <c r="AP150" s="161"/>
      <c r="AQ150" s="161"/>
      <c r="AR150" s="161"/>
      <c r="AS150" s="161"/>
      <c r="AT150" s="161"/>
      <c r="AU150" s="161"/>
      <c r="AV150" s="161"/>
      <c r="AW150" s="161"/>
    </row>
    <row r="151" spans="1:49" ht="12.75" hidden="1" x14ac:dyDescent="0.2">
      <c r="A151" s="163"/>
      <c r="B151" s="161"/>
      <c r="C151" s="161"/>
      <c r="D151" s="161"/>
      <c r="E151" s="161"/>
      <c r="F151" s="161"/>
      <c r="G151" s="161"/>
      <c r="H151" s="161"/>
      <c r="I151" s="161"/>
      <c r="J151" s="161"/>
      <c r="K151" s="161"/>
      <c r="L151" s="161"/>
      <c r="M151" s="161"/>
      <c r="N151" s="161"/>
      <c r="O151" s="161"/>
      <c r="P151" s="161"/>
      <c r="Q151" s="161"/>
      <c r="R151" s="161"/>
      <c r="S151" s="161"/>
      <c r="T151" s="161"/>
      <c r="U151" s="161"/>
      <c r="V151" s="161"/>
      <c r="W151" s="161"/>
      <c r="X151" s="161"/>
      <c r="Y151" s="161"/>
      <c r="Z151" s="161"/>
      <c r="AA151" s="161"/>
      <c r="AB151" s="161"/>
      <c r="AC151" s="161"/>
      <c r="AD151" s="161"/>
      <c r="AE151" s="161"/>
      <c r="AF151" s="161"/>
      <c r="AG151" s="161"/>
      <c r="AH151" s="161"/>
      <c r="AI151" s="161"/>
      <c r="AJ151" s="161"/>
      <c r="AK151" s="161"/>
      <c r="AL151" s="161"/>
      <c r="AM151" s="161"/>
      <c r="AN151" s="161"/>
      <c r="AO151" s="161"/>
      <c r="AP151" s="161"/>
      <c r="AQ151" s="161"/>
      <c r="AR151" s="161"/>
      <c r="AS151" s="161"/>
      <c r="AT151" s="161"/>
      <c r="AU151" s="161"/>
      <c r="AV151" s="161"/>
      <c r="AW151" s="161"/>
    </row>
    <row r="152" spans="1:49" ht="12.75" hidden="1" x14ac:dyDescent="0.2">
      <c r="A152" s="163"/>
      <c r="B152" s="161"/>
      <c r="C152" s="161"/>
      <c r="D152" s="161"/>
      <c r="E152" s="161"/>
      <c r="F152" s="161"/>
      <c r="G152" s="161"/>
      <c r="H152" s="161"/>
      <c r="I152" s="161"/>
      <c r="J152" s="161"/>
      <c r="K152" s="161"/>
      <c r="L152" s="161"/>
      <c r="M152" s="161"/>
      <c r="N152" s="161"/>
      <c r="O152" s="161"/>
      <c r="P152" s="161"/>
      <c r="Q152" s="161"/>
      <c r="R152" s="161"/>
      <c r="S152" s="161"/>
      <c r="T152" s="161"/>
      <c r="U152" s="161"/>
      <c r="V152" s="161"/>
      <c r="W152" s="161"/>
      <c r="X152" s="161"/>
      <c r="Y152" s="161"/>
      <c r="Z152" s="161"/>
      <c r="AA152" s="161"/>
      <c r="AB152" s="161"/>
      <c r="AC152" s="161"/>
      <c r="AD152" s="161"/>
      <c r="AE152" s="161"/>
      <c r="AF152" s="161"/>
      <c r="AG152" s="161"/>
      <c r="AH152" s="161"/>
      <c r="AI152" s="161"/>
      <c r="AJ152" s="161"/>
      <c r="AK152" s="161"/>
      <c r="AL152" s="161"/>
      <c r="AM152" s="161"/>
      <c r="AN152" s="161"/>
      <c r="AO152" s="161"/>
      <c r="AP152" s="161"/>
      <c r="AQ152" s="161"/>
      <c r="AR152" s="161"/>
      <c r="AS152" s="161"/>
      <c r="AT152" s="161"/>
      <c r="AU152" s="161"/>
      <c r="AV152" s="161"/>
      <c r="AW152" s="161"/>
    </row>
    <row r="153" spans="1:49" ht="12.75" hidden="1" x14ac:dyDescent="0.2">
      <c r="A153" s="163"/>
      <c r="B153" s="161"/>
      <c r="C153" s="161"/>
      <c r="D153" s="161"/>
      <c r="E153" s="161"/>
      <c r="F153" s="161"/>
      <c r="G153" s="161"/>
      <c r="H153" s="161"/>
      <c r="I153" s="161"/>
      <c r="J153" s="161"/>
      <c r="K153" s="161"/>
      <c r="L153" s="161"/>
      <c r="M153" s="161"/>
      <c r="N153" s="161"/>
      <c r="O153" s="161"/>
      <c r="P153" s="161"/>
      <c r="Q153" s="161"/>
      <c r="R153" s="161"/>
      <c r="S153" s="161"/>
      <c r="T153" s="161"/>
      <c r="U153" s="161"/>
      <c r="V153" s="161"/>
      <c r="W153" s="161"/>
      <c r="X153" s="161"/>
      <c r="Y153" s="161"/>
      <c r="Z153" s="161"/>
      <c r="AA153" s="161"/>
      <c r="AB153" s="161"/>
      <c r="AC153" s="161"/>
      <c r="AD153" s="161"/>
      <c r="AE153" s="161"/>
      <c r="AF153" s="161"/>
      <c r="AG153" s="161"/>
      <c r="AH153" s="161"/>
      <c r="AI153" s="161"/>
      <c r="AJ153" s="161"/>
      <c r="AK153" s="161"/>
      <c r="AL153" s="161"/>
      <c r="AM153" s="161"/>
      <c r="AN153" s="161"/>
      <c r="AO153" s="161"/>
      <c r="AP153" s="161"/>
      <c r="AQ153" s="161"/>
      <c r="AR153" s="161"/>
      <c r="AS153" s="161"/>
      <c r="AT153" s="161"/>
      <c r="AU153" s="161"/>
      <c r="AV153" s="161"/>
      <c r="AW153" s="161"/>
    </row>
    <row r="154" spans="1:49" ht="12.75" hidden="1" x14ac:dyDescent="0.2">
      <c r="A154" s="163"/>
      <c r="B154" s="161"/>
      <c r="C154" s="161"/>
      <c r="D154" s="161"/>
      <c r="E154" s="161"/>
      <c r="F154" s="161"/>
      <c r="G154" s="161"/>
      <c r="H154" s="161"/>
      <c r="I154" s="161"/>
      <c r="J154" s="161"/>
      <c r="K154" s="161"/>
      <c r="L154" s="161"/>
      <c r="M154" s="161"/>
      <c r="N154" s="161"/>
      <c r="O154" s="161"/>
      <c r="P154" s="161"/>
      <c r="Q154" s="161"/>
      <c r="R154" s="161"/>
      <c r="S154" s="161"/>
      <c r="T154" s="161"/>
      <c r="U154" s="161"/>
      <c r="V154" s="161"/>
      <c r="W154" s="161"/>
      <c r="X154" s="161"/>
      <c r="Y154" s="161"/>
      <c r="Z154" s="161"/>
      <c r="AA154" s="161"/>
      <c r="AB154" s="161"/>
      <c r="AC154" s="161"/>
      <c r="AD154" s="161"/>
      <c r="AE154" s="161"/>
      <c r="AF154" s="161"/>
      <c r="AG154" s="161"/>
      <c r="AH154" s="161"/>
      <c r="AI154" s="161"/>
      <c r="AJ154" s="161"/>
      <c r="AK154" s="161"/>
      <c r="AL154" s="161"/>
      <c r="AM154" s="161"/>
      <c r="AN154" s="161"/>
      <c r="AO154" s="161"/>
      <c r="AP154" s="161"/>
      <c r="AQ154" s="161"/>
      <c r="AR154" s="161"/>
      <c r="AS154" s="161"/>
      <c r="AT154" s="161"/>
      <c r="AU154" s="161"/>
      <c r="AV154" s="161"/>
      <c r="AW154" s="161"/>
    </row>
    <row r="155" spans="1:49" ht="12.75" hidden="1" x14ac:dyDescent="0.2">
      <c r="A155" s="163"/>
      <c r="B155" s="161"/>
      <c r="C155" s="161"/>
      <c r="D155" s="161"/>
      <c r="E155" s="161"/>
      <c r="F155" s="161"/>
      <c r="G155" s="161"/>
      <c r="H155" s="161"/>
      <c r="I155" s="161"/>
      <c r="J155" s="161"/>
      <c r="K155" s="161"/>
      <c r="L155" s="161"/>
      <c r="M155" s="161"/>
      <c r="N155" s="161"/>
      <c r="O155" s="161"/>
      <c r="P155" s="161"/>
      <c r="Q155" s="161"/>
      <c r="R155" s="161"/>
      <c r="S155" s="161"/>
      <c r="T155" s="161"/>
      <c r="U155" s="161"/>
      <c r="V155" s="161"/>
      <c r="W155" s="161"/>
      <c r="X155" s="161"/>
      <c r="Y155" s="161"/>
      <c r="Z155" s="161"/>
      <c r="AA155" s="161"/>
      <c r="AB155" s="161"/>
      <c r="AC155" s="161"/>
      <c r="AD155" s="161"/>
      <c r="AE155" s="161"/>
      <c r="AF155" s="161"/>
      <c r="AG155" s="161"/>
      <c r="AH155" s="161"/>
      <c r="AI155" s="161"/>
      <c r="AJ155" s="161"/>
      <c r="AK155" s="161"/>
      <c r="AL155" s="161"/>
      <c r="AM155" s="161"/>
      <c r="AN155" s="161"/>
      <c r="AO155" s="161"/>
      <c r="AP155" s="161"/>
      <c r="AQ155" s="161"/>
      <c r="AR155" s="161"/>
      <c r="AS155" s="161"/>
      <c r="AT155" s="161"/>
      <c r="AU155" s="161"/>
      <c r="AV155" s="161"/>
      <c r="AW155" s="161"/>
    </row>
    <row r="156" spans="1:49" ht="12.75" hidden="1" x14ac:dyDescent="0.2">
      <c r="A156" s="163"/>
      <c r="B156" s="161"/>
      <c r="C156" s="161"/>
      <c r="D156" s="161"/>
      <c r="E156" s="161"/>
      <c r="F156" s="161"/>
      <c r="G156" s="161"/>
      <c r="H156" s="161"/>
      <c r="I156" s="161"/>
      <c r="J156" s="161"/>
      <c r="K156" s="161"/>
      <c r="L156" s="161"/>
      <c r="M156" s="161"/>
      <c r="N156" s="161"/>
      <c r="O156" s="161"/>
      <c r="P156" s="161"/>
      <c r="Q156" s="161"/>
      <c r="R156" s="161"/>
      <c r="S156" s="161"/>
      <c r="T156" s="161"/>
      <c r="U156" s="161"/>
      <c r="V156" s="161"/>
      <c r="W156" s="161"/>
      <c r="X156" s="161"/>
      <c r="Y156" s="161"/>
      <c r="Z156" s="161"/>
      <c r="AA156" s="161"/>
      <c r="AB156" s="161"/>
      <c r="AC156" s="161"/>
      <c r="AD156" s="161"/>
      <c r="AE156" s="161"/>
      <c r="AF156" s="161"/>
      <c r="AG156" s="161"/>
      <c r="AH156" s="161"/>
      <c r="AI156" s="161"/>
      <c r="AJ156" s="161"/>
      <c r="AK156" s="161"/>
      <c r="AL156" s="161"/>
      <c r="AM156" s="161"/>
      <c r="AN156" s="161"/>
      <c r="AO156" s="161"/>
      <c r="AP156" s="161"/>
      <c r="AQ156" s="161"/>
      <c r="AR156" s="161"/>
      <c r="AS156" s="161"/>
      <c r="AT156" s="161"/>
      <c r="AU156" s="161"/>
      <c r="AV156" s="161"/>
      <c r="AW156" s="161"/>
    </row>
    <row r="157" spans="1:49" ht="12.75" hidden="1" x14ac:dyDescent="0.2">
      <c r="A157" s="163"/>
      <c r="B157" s="161"/>
      <c r="C157" s="161"/>
      <c r="D157" s="161"/>
      <c r="E157" s="161"/>
      <c r="F157" s="161"/>
      <c r="G157" s="161"/>
      <c r="H157" s="161"/>
      <c r="I157" s="161"/>
      <c r="J157" s="161"/>
      <c r="K157" s="161"/>
      <c r="L157" s="161"/>
      <c r="M157" s="161"/>
      <c r="N157" s="161"/>
      <c r="O157" s="161"/>
      <c r="P157" s="161"/>
      <c r="Q157" s="161"/>
      <c r="R157" s="161"/>
      <c r="S157" s="161"/>
      <c r="T157" s="161"/>
      <c r="U157" s="161"/>
      <c r="V157" s="161"/>
      <c r="W157" s="161"/>
      <c r="X157" s="161"/>
      <c r="Y157" s="161"/>
      <c r="Z157" s="161"/>
      <c r="AA157" s="161"/>
      <c r="AB157" s="161"/>
      <c r="AC157" s="161"/>
      <c r="AD157" s="161"/>
      <c r="AE157" s="161"/>
      <c r="AF157" s="161"/>
      <c r="AG157" s="161"/>
      <c r="AH157" s="161"/>
      <c r="AI157" s="161"/>
      <c r="AJ157" s="161"/>
      <c r="AK157" s="161"/>
      <c r="AL157" s="161"/>
      <c r="AM157" s="161"/>
      <c r="AN157" s="161"/>
      <c r="AO157" s="161"/>
      <c r="AP157" s="161"/>
      <c r="AQ157" s="161"/>
      <c r="AR157" s="161"/>
      <c r="AS157" s="161"/>
      <c r="AT157" s="161"/>
      <c r="AU157" s="161"/>
      <c r="AV157" s="161"/>
      <c r="AW157" s="161"/>
    </row>
    <row r="158" spans="1:49" ht="12.75" hidden="1" x14ac:dyDescent="0.2">
      <c r="A158" s="163"/>
      <c r="B158" s="161"/>
      <c r="C158" s="161"/>
      <c r="D158" s="161"/>
      <c r="E158" s="161"/>
      <c r="F158" s="161"/>
      <c r="G158" s="161"/>
      <c r="H158" s="161"/>
      <c r="I158" s="161"/>
      <c r="J158" s="161"/>
      <c r="K158" s="161"/>
      <c r="L158" s="161"/>
      <c r="M158" s="161"/>
      <c r="N158" s="161"/>
      <c r="O158" s="161"/>
      <c r="P158" s="161"/>
      <c r="Q158" s="161"/>
      <c r="R158" s="161"/>
      <c r="S158" s="161"/>
      <c r="T158" s="161"/>
      <c r="U158" s="161"/>
      <c r="V158" s="161"/>
      <c r="W158" s="161"/>
      <c r="X158" s="161"/>
      <c r="Y158" s="161"/>
      <c r="Z158" s="161"/>
      <c r="AA158" s="161"/>
      <c r="AB158" s="161"/>
      <c r="AC158" s="161"/>
      <c r="AD158" s="161"/>
      <c r="AE158" s="161"/>
      <c r="AF158" s="161"/>
      <c r="AG158" s="161"/>
      <c r="AH158" s="161"/>
      <c r="AI158" s="161"/>
      <c r="AJ158" s="161"/>
      <c r="AK158" s="161"/>
      <c r="AL158" s="161"/>
      <c r="AM158" s="161"/>
      <c r="AN158" s="161"/>
      <c r="AO158" s="161"/>
      <c r="AP158" s="161"/>
      <c r="AQ158" s="161"/>
      <c r="AR158" s="161"/>
      <c r="AS158" s="161"/>
      <c r="AT158" s="161"/>
      <c r="AU158" s="161"/>
      <c r="AV158" s="161"/>
      <c r="AW158" s="161"/>
    </row>
    <row r="159" spans="1:49" ht="12.75" hidden="1" x14ac:dyDescent="0.2">
      <c r="A159" s="163"/>
      <c r="B159" s="161"/>
      <c r="C159" s="161"/>
      <c r="D159" s="161"/>
      <c r="E159" s="161"/>
      <c r="F159" s="161"/>
      <c r="G159" s="161"/>
      <c r="H159" s="161"/>
      <c r="I159" s="161"/>
      <c r="J159" s="161"/>
      <c r="K159" s="161"/>
      <c r="L159" s="161"/>
      <c r="M159" s="161"/>
      <c r="N159" s="161"/>
      <c r="O159" s="161"/>
      <c r="P159" s="161"/>
      <c r="Q159" s="161"/>
      <c r="R159" s="161"/>
      <c r="S159" s="161"/>
      <c r="T159" s="161"/>
      <c r="U159" s="161"/>
      <c r="V159" s="161"/>
      <c r="W159" s="161"/>
      <c r="X159" s="161"/>
      <c r="Y159" s="161"/>
      <c r="Z159" s="161"/>
      <c r="AA159" s="161"/>
      <c r="AB159" s="161"/>
      <c r="AC159" s="161"/>
      <c r="AD159" s="161"/>
      <c r="AE159" s="161"/>
      <c r="AF159" s="161"/>
      <c r="AG159" s="161"/>
      <c r="AH159" s="161"/>
      <c r="AI159" s="161"/>
      <c r="AJ159" s="161"/>
      <c r="AK159" s="161"/>
      <c r="AL159" s="161"/>
      <c r="AM159" s="161"/>
      <c r="AN159" s="161"/>
      <c r="AO159" s="161"/>
      <c r="AP159" s="161"/>
      <c r="AQ159" s="161"/>
      <c r="AR159" s="161"/>
      <c r="AS159" s="161"/>
      <c r="AT159" s="161"/>
      <c r="AU159" s="161"/>
      <c r="AV159" s="161"/>
      <c r="AW159" s="161"/>
    </row>
    <row r="160" spans="1:49" ht="12.75" hidden="1" x14ac:dyDescent="0.2">
      <c r="A160" s="163"/>
      <c r="B160" s="161"/>
      <c r="C160" s="161"/>
      <c r="D160" s="161"/>
      <c r="E160" s="161"/>
      <c r="F160" s="161"/>
      <c r="G160" s="161"/>
      <c r="H160" s="161"/>
      <c r="I160" s="161"/>
      <c r="J160" s="161"/>
      <c r="K160" s="161"/>
      <c r="L160" s="161"/>
      <c r="M160" s="161"/>
      <c r="N160" s="161"/>
      <c r="O160" s="161"/>
      <c r="P160" s="161"/>
      <c r="Q160" s="161"/>
      <c r="R160" s="161"/>
      <c r="S160" s="161"/>
      <c r="T160" s="161"/>
      <c r="U160" s="161"/>
      <c r="V160" s="161"/>
      <c r="W160" s="161"/>
      <c r="X160" s="161"/>
      <c r="Y160" s="161"/>
      <c r="Z160" s="161"/>
      <c r="AA160" s="161"/>
      <c r="AB160" s="161"/>
      <c r="AC160" s="161"/>
      <c r="AD160" s="161"/>
      <c r="AE160" s="161"/>
      <c r="AF160" s="161"/>
      <c r="AG160" s="161"/>
      <c r="AH160" s="161"/>
      <c r="AI160" s="161"/>
      <c r="AJ160" s="161"/>
      <c r="AK160" s="161"/>
      <c r="AL160" s="161"/>
      <c r="AM160" s="161"/>
      <c r="AN160" s="161"/>
      <c r="AO160" s="161"/>
      <c r="AP160" s="161"/>
      <c r="AQ160" s="161"/>
      <c r="AR160" s="161"/>
      <c r="AS160" s="161"/>
      <c r="AT160" s="161"/>
      <c r="AU160" s="161"/>
      <c r="AV160" s="161"/>
      <c r="AW160" s="161"/>
    </row>
    <row r="161" spans="1:49" ht="12.75" hidden="1" x14ac:dyDescent="0.2">
      <c r="A161" s="163"/>
      <c r="B161" s="161"/>
      <c r="C161" s="161"/>
      <c r="D161" s="161"/>
      <c r="E161" s="161"/>
      <c r="F161" s="161"/>
      <c r="G161" s="161"/>
      <c r="H161" s="161"/>
      <c r="I161" s="161"/>
      <c r="J161" s="161"/>
      <c r="K161" s="161"/>
      <c r="L161" s="161"/>
      <c r="M161" s="161"/>
      <c r="N161" s="161"/>
      <c r="O161" s="161"/>
      <c r="P161" s="161"/>
      <c r="Q161" s="161"/>
      <c r="R161" s="161"/>
      <c r="S161" s="161"/>
      <c r="T161" s="161"/>
      <c r="U161" s="161"/>
      <c r="V161" s="161"/>
      <c r="W161" s="161"/>
      <c r="X161" s="161"/>
      <c r="Y161" s="161"/>
      <c r="Z161" s="161"/>
      <c r="AA161" s="161"/>
      <c r="AB161" s="161"/>
      <c r="AC161" s="161"/>
      <c r="AD161" s="161"/>
      <c r="AE161" s="161"/>
      <c r="AF161" s="161"/>
      <c r="AG161" s="161"/>
      <c r="AH161" s="161"/>
      <c r="AI161" s="161"/>
      <c r="AJ161" s="161"/>
      <c r="AK161" s="161"/>
      <c r="AL161" s="161"/>
      <c r="AM161" s="161"/>
      <c r="AN161" s="161"/>
      <c r="AO161" s="161"/>
      <c r="AP161" s="161"/>
      <c r="AQ161" s="161"/>
      <c r="AR161" s="161"/>
      <c r="AS161" s="161"/>
      <c r="AT161" s="161"/>
      <c r="AU161" s="161"/>
      <c r="AV161" s="161"/>
      <c r="AW161" s="161"/>
    </row>
    <row r="162" spans="1:49" ht="12.75" hidden="1" x14ac:dyDescent="0.2">
      <c r="A162" s="163"/>
      <c r="B162" s="161"/>
      <c r="C162" s="161"/>
      <c r="D162" s="161"/>
      <c r="E162" s="161"/>
      <c r="F162" s="161"/>
      <c r="G162" s="161"/>
      <c r="H162" s="161"/>
      <c r="I162" s="161"/>
      <c r="J162" s="161"/>
      <c r="K162" s="161"/>
      <c r="L162" s="161"/>
      <c r="M162" s="161"/>
      <c r="N162" s="161"/>
      <c r="O162" s="161"/>
      <c r="P162" s="161"/>
      <c r="Q162" s="161"/>
      <c r="R162" s="161"/>
      <c r="S162" s="161"/>
      <c r="T162" s="161"/>
      <c r="U162" s="161"/>
      <c r="V162" s="161"/>
      <c r="W162" s="161"/>
      <c r="X162" s="161"/>
      <c r="Y162" s="161"/>
      <c r="Z162" s="161"/>
      <c r="AA162" s="161"/>
      <c r="AB162" s="161"/>
      <c r="AC162" s="161"/>
      <c r="AD162" s="161"/>
      <c r="AE162" s="161"/>
      <c r="AF162" s="161"/>
      <c r="AG162" s="161"/>
      <c r="AH162" s="161"/>
      <c r="AI162" s="161"/>
      <c r="AJ162" s="161"/>
      <c r="AK162" s="161"/>
      <c r="AL162" s="161"/>
      <c r="AM162" s="161"/>
      <c r="AN162" s="161"/>
      <c r="AO162" s="161"/>
      <c r="AP162" s="161"/>
      <c r="AQ162" s="161"/>
      <c r="AR162" s="161"/>
      <c r="AS162" s="161"/>
      <c r="AT162" s="161"/>
      <c r="AU162" s="161"/>
      <c r="AV162" s="161"/>
      <c r="AW162" s="161"/>
    </row>
    <row r="163" spans="1:49" ht="12.75" hidden="1" x14ac:dyDescent="0.2">
      <c r="A163" s="163"/>
      <c r="B163" s="161"/>
      <c r="C163" s="161"/>
      <c r="D163" s="161"/>
      <c r="E163" s="161"/>
      <c r="F163" s="161"/>
      <c r="G163" s="161"/>
      <c r="H163" s="161"/>
      <c r="I163" s="161"/>
      <c r="J163" s="161"/>
      <c r="K163" s="161"/>
      <c r="L163" s="161"/>
      <c r="M163" s="161"/>
      <c r="N163" s="161"/>
      <c r="O163" s="161"/>
      <c r="P163" s="161"/>
      <c r="Q163" s="161"/>
      <c r="R163" s="161"/>
      <c r="S163" s="161"/>
      <c r="T163" s="161"/>
      <c r="U163" s="161"/>
      <c r="V163" s="161"/>
      <c r="W163" s="161"/>
      <c r="X163" s="161"/>
      <c r="Y163" s="161"/>
      <c r="Z163" s="161"/>
      <c r="AA163" s="161"/>
      <c r="AB163" s="161"/>
      <c r="AC163" s="161"/>
      <c r="AD163" s="161"/>
      <c r="AE163" s="161"/>
      <c r="AF163" s="161"/>
      <c r="AG163" s="161"/>
      <c r="AH163" s="161"/>
      <c r="AI163" s="161"/>
      <c r="AJ163" s="161"/>
      <c r="AK163" s="161"/>
      <c r="AL163" s="161"/>
      <c r="AM163" s="161"/>
      <c r="AN163" s="161"/>
      <c r="AO163" s="161"/>
      <c r="AP163" s="161"/>
      <c r="AQ163" s="161"/>
      <c r="AR163" s="161"/>
      <c r="AS163" s="161"/>
      <c r="AT163" s="161"/>
      <c r="AU163" s="161"/>
      <c r="AV163" s="161"/>
      <c r="AW163" s="161"/>
    </row>
    <row r="164" spans="1:49" ht="12.75" hidden="1" x14ac:dyDescent="0.2">
      <c r="A164" s="163"/>
      <c r="B164" s="161"/>
      <c r="C164" s="161"/>
      <c r="D164" s="161"/>
      <c r="E164" s="161"/>
      <c r="F164" s="161"/>
      <c r="G164" s="161"/>
      <c r="H164" s="161"/>
      <c r="I164" s="161"/>
      <c r="J164" s="161"/>
      <c r="K164" s="161"/>
      <c r="L164" s="161"/>
      <c r="M164" s="161"/>
      <c r="N164" s="161"/>
      <c r="O164" s="161"/>
      <c r="P164" s="161"/>
      <c r="Q164" s="161"/>
      <c r="R164" s="161"/>
      <c r="S164" s="161"/>
      <c r="T164" s="161"/>
      <c r="U164" s="161"/>
      <c r="V164" s="161"/>
      <c r="W164" s="161"/>
      <c r="X164" s="161"/>
      <c r="Y164" s="161"/>
      <c r="Z164" s="161"/>
      <c r="AA164" s="161"/>
      <c r="AB164" s="161"/>
      <c r="AC164" s="161"/>
      <c r="AD164" s="161"/>
      <c r="AE164" s="161"/>
      <c r="AF164" s="161"/>
      <c r="AG164" s="161"/>
      <c r="AH164" s="161"/>
      <c r="AI164" s="161"/>
      <c r="AJ164" s="161"/>
      <c r="AK164" s="161"/>
      <c r="AL164" s="161"/>
      <c r="AM164" s="161"/>
      <c r="AN164" s="161"/>
      <c r="AO164" s="161"/>
      <c r="AP164" s="161"/>
      <c r="AQ164" s="161"/>
      <c r="AR164" s="161"/>
      <c r="AS164" s="161"/>
      <c r="AT164" s="161"/>
      <c r="AU164" s="161"/>
      <c r="AV164" s="161"/>
      <c r="AW164" s="161"/>
    </row>
    <row r="165" spans="1:49" ht="12.75" hidden="1" x14ac:dyDescent="0.2">
      <c r="A165" s="163"/>
      <c r="B165" s="161"/>
      <c r="C165" s="161"/>
      <c r="D165" s="161"/>
      <c r="E165" s="161"/>
      <c r="F165" s="161"/>
      <c r="G165" s="161"/>
      <c r="H165" s="161"/>
      <c r="I165" s="161"/>
      <c r="J165" s="161"/>
      <c r="K165" s="161"/>
      <c r="L165" s="161"/>
      <c r="M165" s="161"/>
      <c r="N165" s="161"/>
      <c r="O165" s="161"/>
      <c r="P165" s="161"/>
      <c r="Q165" s="161"/>
      <c r="R165" s="161"/>
      <c r="S165" s="161"/>
      <c r="T165" s="161"/>
      <c r="U165" s="161"/>
      <c r="V165" s="161"/>
      <c r="W165" s="161"/>
      <c r="X165" s="161"/>
      <c r="Y165" s="161"/>
      <c r="Z165" s="161"/>
      <c r="AA165" s="161"/>
      <c r="AB165" s="161"/>
      <c r="AC165" s="161"/>
      <c r="AD165" s="161"/>
      <c r="AE165" s="161"/>
      <c r="AF165" s="161"/>
      <c r="AG165" s="161"/>
      <c r="AH165" s="161"/>
      <c r="AI165" s="161"/>
      <c r="AJ165" s="161"/>
      <c r="AK165" s="161"/>
      <c r="AL165" s="161"/>
      <c r="AM165" s="161"/>
      <c r="AN165" s="161"/>
      <c r="AO165" s="161"/>
      <c r="AP165" s="161"/>
      <c r="AQ165" s="161"/>
      <c r="AR165" s="161"/>
      <c r="AS165" s="161"/>
      <c r="AT165" s="161"/>
      <c r="AU165" s="161"/>
      <c r="AV165" s="161"/>
      <c r="AW165" s="161"/>
    </row>
    <row r="166" spans="1:49" ht="12.75" hidden="1" x14ac:dyDescent="0.2">
      <c r="A166" s="163"/>
      <c r="B166" s="161"/>
      <c r="C166" s="161"/>
      <c r="D166" s="161"/>
      <c r="E166" s="161"/>
      <c r="F166" s="161"/>
      <c r="G166" s="161"/>
      <c r="H166" s="161"/>
      <c r="I166" s="161"/>
      <c r="J166" s="161"/>
      <c r="K166" s="161"/>
      <c r="L166" s="161"/>
      <c r="M166" s="161"/>
      <c r="N166" s="161"/>
      <c r="O166" s="161"/>
      <c r="P166" s="161"/>
      <c r="Q166" s="161"/>
      <c r="R166" s="161"/>
      <c r="S166" s="161"/>
      <c r="T166" s="161"/>
      <c r="U166" s="161"/>
      <c r="V166" s="161"/>
      <c r="W166" s="161"/>
      <c r="X166" s="161"/>
      <c r="Y166" s="161"/>
      <c r="Z166" s="161"/>
      <c r="AA166" s="161"/>
      <c r="AB166" s="161"/>
      <c r="AC166" s="161"/>
      <c r="AD166" s="161"/>
      <c r="AE166" s="161"/>
      <c r="AF166" s="161"/>
      <c r="AG166" s="161"/>
      <c r="AH166" s="161"/>
      <c r="AI166" s="161"/>
      <c r="AJ166" s="161"/>
      <c r="AK166" s="161"/>
      <c r="AL166" s="161"/>
      <c r="AM166" s="161"/>
      <c r="AN166" s="161"/>
      <c r="AO166" s="161"/>
      <c r="AP166" s="161"/>
      <c r="AQ166" s="161"/>
      <c r="AR166" s="161"/>
      <c r="AS166" s="161"/>
      <c r="AT166" s="161"/>
      <c r="AU166" s="161"/>
      <c r="AV166" s="161"/>
      <c r="AW166" s="161"/>
    </row>
    <row r="167" spans="1:49" ht="12.75" hidden="1" x14ac:dyDescent="0.2">
      <c r="A167" s="163"/>
      <c r="B167" s="161"/>
      <c r="C167" s="161"/>
      <c r="D167" s="161"/>
      <c r="E167" s="161"/>
      <c r="F167" s="161"/>
      <c r="G167" s="161"/>
      <c r="H167" s="161"/>
      <c r="I167" s="161"/>
      <c r="J167" s="161"/>
      <c r="K167" s="161"/>
      <c r="L167" s="161"/>
      <c r="M167" s="161"/>
      <c r="N167" s="161"/>
      <c r="O167" s="161"/>
      <c r="P167" s="161"/>
      <c r="Q167" s="161"/>
      <c r="R167" s="161"/>
      <c r="S167" s="161"/>
      <c r="T167" s="161"/>
      <c r="U167" s="161"/>
      <c r="V167" s="161"/>
      <c r="W167" s="161"/>
      <c r="X167" s="161"/>
      <c r="Y167" s="161"/>
      <c r="Z167" s="161"/>
      <c r="AA167" s="161"/>
      <c r="AB167" s="161"/>
      <c r="AC167" s="161"/>
      <c r="AD167" s="161"/>
      <c r="AE167" s="161"/>
      <c r="AF167" s="161"/>
      <c r="AG167" s="161"/>
      <c r="AH167" s="161"/>
      <c r="AI167" s="161"/>
      <c r="AJ167" s="161"/>
      <c r="AK167" s="161"/>
      <c r="AL167" s="161"/>
      <c r="AM167" s="161"/>
      <c r="AN167" s="161"/>
      <c r="AO167" s="161"/>
      <c r="AP167" s="161"/>
      <c r="AQ167" s="161"/>
      <c r="AR167" s="161"/>
      <c r="AS167" s="161"/>
      <c r="AT167" s="161"/>
      <c r="AU167" s="161"/>
      <c r="AV167" s="161"/>
      <c r="AW167" s="161"/>
    </row>
    <row r="168" spans="1:49" ht="12.75" hidden="1" x14ac:dyDescent="0.2">
      <c r="A168" s="163"/>
      <c r="B168" s="161"/>
      <c r="C168" s="161"/>
      <c r="D168" s="161"/>
      <c r="E168" s="161"/>
      <c r="F168" s="161"/>
      <c r="G168" s="161"/>
      <c r="H168" s="161"/>
      <c r="I168" s="161"/>
      <c r="J168" s="161"/>
      <c r="K168" s="161"/>
      <c r="L168" s="161"/>
      <c r="M168" s="161"/>
      <c r="N168" s="161"/>
      <c r="O168" s="161"/>
      <c r="P168" s="161"/>
      <c r="Q168" s="161"/>
      <c r="R168" s="161"/>
      <c r="S168" s="161"/>
      <c r="T168" s="161"/>
      <c r="U168" s="161"/>
      <c r="V168" s="161"/>
      <c r="W168" s="161"/>
      <c r="X168" s="161"/>
      <c r="Y168" s="161"/>
      <c r="Z168" s="161"/>
      <c r="AA168" s="161"/>
      <c r="AB168" s="161"/>
      <c r="AC168" s="161"/>
      <c r="AD168" s="161"/>
      <c r="AE168" s="161"/>
      <c r="AF168" s="161"/>
      <c r="AG168" s="161"/>
      <c r="AH168" s="161"/>
      <c r="AI168" s="161"/>
      <c r="AJ168" s="161"/>
      <c r="AK168" s="161"/>
      <c r="AL168" s="161"/>
      <c r="AM168" s="161"/>
      <c r="AN168" s="161"/>
      <c r="AO168" s="161"/>
      <c r="AP168" s="161"/>
      <c r="AQ168" s="161"/>
      <c r="AR168" s="161"/>
      <c r="AS168" s="161"/>
      <c r="AT168" s="161"/>
      <c r="AU168" s="161"/>
      <c r="AV168" s="161"/>
      <c r="AW168" s="161"/>
    </row>
    <row r="169" spans="1:49" ht="12.75" hidden="1" x14ac:dyDescent="0.2">
      <c r="A169" s="163"/>
      <c r="B169" s="161"/>
      <c r="C169" s="161"/>
      <c r="D169" s="161"/>
      <c r="E169" s="161"/>
      <c r="F169" s="161"/>
      <c r="G169" s="161"/>
      <c r="H169" s="161"/>
      <c r="I169" s="161"/>
      <c r="J169" s="161"/>
      <c r="K169" s="161"/>
      <c r="L169" s="161"/>
      <c r="M169" s="161"/>
      <c r="N169" s="161"/>
      <c r="O169" s="161"/>
      <c r="P169" s="161"/>
      <c r="Q169" s="161"/>
      <c r="R169" s="161"/>
      <c r="S169" s="161"/>
      <c r="T169" s="161"/>
      <c r="U169" s="161"/>
      <c r="V169" s="161"/>
      <c r="W169" s="161"/>
      <c r="X169" s="161"/>
      <c r="Y169" s="161"/>
      <c r="Z169" s="161"/>
      <c r="AA169" s="161"/>
      <c r="AB169" s="161"/>
      <c r="AC169" s="161"/>
      <c r="AD169" s="161"/>
      <c r="AE169" s="161"/>
      <c r="AF169" s="161"/>
      <c r="AG169" s="161"/>
      <c r="AH169" s="161"/>
      <c r="AI169" s="161"/>
      <c r="AJ169" s="161"/>
      <c r="AK169" s="161"/>
      <c r="AL169" s="161"/>
      <c r="AM169" s="161"/>
      <c r="AN169" s="161"/>
      <c r="AO169" s="161"/>
      <c r="AP169" s="161"/>
      <c r="AQ169" s="161"/>
      <c r="AR169" s="161"/>
      <c r="AS169" s="161"/>
      <c r="AT169" s="161"/>
      <c r="AU169" s="161"/>
      <c r="AV169" s="161"/>
      <c r="AW169" s="161"/>
    </row>
    <row r="170" spans="1:49" ht="12.75" hidden="1" x14ac:dyDescent="0.2">
      <c r="A170" s="163"/>
      <c r="B170" s="161"/>
      <c r="C170" s="161"/>
      <c r="D170" s="161"/>
      <c r="E170" s="161"/>
      <c r="F170" s="161"/>
      <c r="G170" s="161"/>
      <c r="H170" s="161"/>
      <c r="I170" s="161"/>
      <c r="J170" s="161"/>
      <c r="K170" s="161"/>
      <c r="L170" s="161"/>
      <c r="M170" s="161"/>
      <c r="N170" s="161"/>
      <c r="O170" s="161"/>
      <c r="P170" s="161"/>
      <c r="Q170" s="161"/>
      <c r="R170" s="161"/>
      <c r="S170" s="161"/>
      <c r="T170" s="161"/>
      <c r="U170" s="161"/>
      <c r="V170" s="161"/>
      <c r="W170" s="161"/>
      <c r="X170" s="161"/>
      <c r="Y170" s="161"/>
      <c r="Z170" s="161"/>
      <c r="AA170" s="161"/>
      <c r="AB170" s="161"/>
      <c r="AC170" s="161"/>
      <c r="AD170" s="161"/>
      <c r="AE170" s="161"/>
      <c r="AF170" s="161"/>
      <c r="AG170" s="161"/>
      <c r="AH170" s="161"/>
      <c r="AI170" s="161"/>
      <c r="AJ170" s="161"/>
      <c r="AK170" s="161"/>
      <c r="AL170" s="161"/>
      <c r="AM170" s="161"/>
      <c r="AN170" s="161"/>
      <c r="AO170" s="161"/>
      <c r="AP170" s="161"/>
      <c r="AQ170" s="161"/>
      <c r="AR170" s="161"/>
      <c r="AS170" s="161"/>
      <c r="AT170" s="161"/>
      <c r="AU170" s="161"/>
      <c r="AV170" s="161"/>
      <c r="AW170" s="161"/>
    </row>
    <row r="171" spans="1:49" ht="12.75" hidden="1" x14ac:dyDescent="0.2">
      <c r="A171" s="163"/>
      <c r="B171" s="161"/>
      <c r="C171" s="161"/>
      <c r="D171" s="161"/>
      <c r="E171" s="161"/>
      <c r="F171" s="161"/>
      <c r="G171" s="161"/>
      <c r="H171" s="161"/>
      <c r="I171" s="161"/>
      <c r="J171" s="161"/>
      <c r="K171" s="161"/>
      <c r="L171" s="161"/>
      <c r="M171" s="161"/>
      <c r="N171" s="161"/>
      <c r="O171" s="161"/>
      <c r="P171" s="161"/>
      <c r="Q171" s="161"/>
      <c r="R171" s="161"/>
      <c r="S171" s="161"/>
      <c r="T171" s="161"/>
      <c r="U171" s="161"/>
      <c r="V171" s="161"/>
      <c r="W171" s="161"/>
      <c r="X171" s="161"/>
      <c r="Y171" s="161"/>
      <c r="Z171" s="161"/>
      <c r="AA171" s="161"/>
      <c r="AB171" s="161"/>
      <c r="AC171" s="161"/>
      <c r="AD171" s="161"/>
      <c r="AE171" s="161"/>
      <c r="AF171" s="161"/>
      <c r="AG171" s="161"/>
      <c r="AH171" s="161"/>
      <c r="AI171" s="161"/>
      <c r="AJ171" s="161"/>
      <c r="AK171" s="161"/>
      <c r="AL171" s="161"/>
      <c r="AM171" s="161"/>
      <c r="AN171" s="161"/>
      <c r="AO171" s="161"/>
      <c r="AP171" s="161"/>
      <c r="AQ171" s="161"/>
      <c r="AR171" s="161"/>
      <c r="AS171" s="161"/>
      <c r="AT171" s="161"/>
      <c r="AU171" s="161"/>
      <c r="AV171" s="161"/>
      <c r="AW171" s="161"/>
    </row>
    <row r="172" spans="1:49" ht="12.75" hidden="1" x14ac:dyDescent="0.2">
      <c r="A172" s="163"/>
      <c r="B172" s="161"/>
      <c r="C172" s="161"/>
      <c r="D172" s="161"/>
      <c r="E172" s="161"/>
      <c r="F172" s="161"/>
      <c r="G172" s="161"/>
      <c r="H172" s="161"/>
      <c r="I172" s="161"/>
      <c r="J172" s="161"/>
      <c r="K172" s="161"/>
      <c r="L172" s="161"/>
      <c r="M172" s="161"/>
      <c r="N172" s="161"/>
      <c r="O172" s="161"/>
      <c r="P172" s="161"/>
      <c r="Q172" s="161"/>
      <c r="R172" s="161"/>
      <c r="S172" s="161"/>
      <c r="T172" s="161"/>
      <c r="U172" s="161"/>
      <c r="V172" s="161"/>
      <c r="W172" s="161"/>
      <c r="X172" s="161"/>
      <c r="Y172" s="161"/>
      <c r="Z172" s="161"/>
      <c r="AA172" s="161"/>
      <c r="AB172" s="161"/>
      <c r="AC172" s="161"/>
      <c r="AD172" s="161"/>
      <c r="AE172" s="161"/>
      <c r="AF172" s="161"/>
      <c r="AG172" s="161"/>
      <c r="AH172" s="161"/>
      <c r="AI172" s="161"/>
      <c r="AJ172" s="161"/>
      <c r="AK172" s="161"/>
      <c r="AL172" s="161"/>
      <c r="AM172" s="161"/>
      <c r="AN172" s="161"/>
      <c r="AO172" s="161"/>
      <c r="AP172" s="161"/>
      <c r="AQ172" s="161"/>
      <c r="AR172" s="161"/>
      <c r="AS172" s="161"/>
      <c r="AT172" s="161"/>
      <c r="AU172" s="161"/>
      <c r="AV172" s="161"/>
      <c r="AW172" s="161"/>
    </row>
    <row r="173" spans="1:49" ht="12.75" hidden="1" x14ac:dyDescent="0.2">
      <c r="A173" s="163"/>
      <c r="B173" s="161"/>
      <c r="C173" s="161"/>
      <c r="D173" s="161"/>
      <c r="E173" s="161"/>
      <c r="F173" s="161"/>
      <c r="G173" s="161"/>
      <c r="H173" s="161"/>
      <c r="I173" s="161"/>
      <c r="J173" s="161"/>
      <c r="K173" s="161"/>
      <c r="L173" s="161"/>
      <c r="M173" s="161"/>
      <c r="N173" s="161"/>
      <c r="O173" s="161"/>
      <c r="P173" s="161"/>
      <c r="Q173" s="161"/>
      <c r="R173" s="161"/>
      <c r="S173" s="161"/>
      <c r="T173" s="161"/>
      <c r="U173" s="161"/>
      <c r="V173" s="161"/>
      <c r="W173" s="161"/>
      <c r="X173" s="161"/>
      <c r="Y173" s="161"/>
      <c r="Z173" s="161"/>
      <c r="AA173" s="161"/>
      <c r="AB173" s="161"/>
      <c r="AC173" s="161"/>
      <c r="AD173" s="161"/>
      <c r="AE173" s="161"/>
      <c r="AF173" s="161"/>
      <c r="AG173" s="161"/>
      <c r="AH173" s="161"/>
      <c r="AI173" s="161"/>
      <c r="AJ173" s="161"/>
      <c r="AK173" s="161"/>
      <c r="AL173" s="161"/>
      <c r="AM173" s="161"/>
      <c r="AN173" s="161"/>
      <c r="AO173" s="161"/>
      <c r="AP173" s="161"/>
      <c r="AQ173" s="161"/>
      <c r="AR173" s="161"/>
      <c r="AS173" s="161"/>
      <c r="AT173" s="161"/>
      <c r="AU173" s="161"/>
      <c r="AV173" s="161"/>
      <c r="AW173" s="161"/>
    </row>
    <row r="174" spans="1:49" ht="12.75" hidden="1" x14ac:dyDescent="0.2">
      <c r="A174" s="163"/>
      <c r="B174" s="161"/>
      <c r="C174" s="161"/>
      <c r="D174" s="161"/>
      <c r="E174" s="161"/>
      <c r="F174" s="161"/>
      <c r="G174" s="161"/>
      <c r="H174" s="161"/>
      <c r="I174" s="161"/>
      <c r="J174" s="161"/>
      <c r="K174" s="161"/>
      <c r="L174" s="161"/>
      <c r="M174" s="161"/>
      <c r="N174" s="161"/>
      <c r="O174" s="161"/>
      <c r="P174" s="161"/>
      <c r="Q174" s="161"/>
      <c r="R174" s="161"/>
      <c r="S174" s="161"/>
      <c r="T174" s="161"/>
      <c r="U174" s="161"/>
      <c r="V174" s="161"/>
      <c r="W174" s="161"/>
      <c r="X174" s="161"/>
      <c r="Y174" s="161"/>
      <c r="Z174" s="161"/>
      <c r="AA174" s="161"/>
      <c r="AB174" s="161"/>
      <c r="AC174" s="161"/>
      <c r="AD174" s="161"/>
      <c r="AE174" s="161"/>
      <c r="AF174" s="161"/>
      <c r="AG174" s="161"/>
      <c r="AH174" s="161"/>
      <c r="AI174" s="161"/>
      <c r="AJ174" s="161"/>
      <c r="AK174" s="161"/>
      <c r="AL174" s="161"/>
      <c r="AM174" s="161"/>
      <c r="AN174" s="161"/>
      <c r="AO174" s="161"/>
      <c r="AP174" s="161"/>
      <c r="AQ174" s="161"/>
      <c r="AR174" s="161"/>
      <c r="AS174" s="161"/>
      <c r="AT174" s="161"/>
      <c r="AU174" s="161"/>
      <c r="AV174" s="161"/>
      <c r="AW174" s="161"/>
    </row>
    <row r="175" spans="1:49" ht="12.75" hidden="1" x14ac:dyDescent="0.2">
      <c r="A175" s="163"/>
      <c r="B175" s="161"/>
      <c r="C175" s="161"/>
      <c r="D175" s="161"/>
      <c r="E175" s="161"/>
      <c r="F175" s="161"/>
      <c r="G175" s="161"/>
      <c r="H175" s="161"/>
      <c r="I175" s="161"/>
      <c r="J175" s="161"/>
      <c r="K175" s="161"/>
      <c r="L175" s="161"/>
      <c r="M175" s="161"/>
      <c r="N175" s="161"/>
      <c r="O175" s="161"/>
      <c r="P175" s="161"/>
      <c r="Q175" s="161"/>
      <c r="R175" s="161"/>
      <c r="S175" s="161"/>
      <c r="T175" s="161"/>
      <c r="U175" s="161"/>
      <c r="V175" s="161"/>
      <c r="W175" s="161"/>
      <c r="X175" s="161"/>
      <c r="Y175" s="161"/>
      <c r="Z175" s="161"/>
      <c r="AA175" s="161"/>
      <c r="AB175" s="161"/>
      <c r="AC175" s="161"/>
      <c r="AD175" s="161"/>
      <c r="AE175" s="161"/>
      <c r="AF175" s="161"/>
      <c r="AG175" s="161"/>
      <c r="AH175" s="161"/>
      <c r="AI175" s="161"/>
      <c r="AJ175" s="161"/>
      <c r="AK175" s="161"/>
      <c r="AL175" s="161"/>
      <c r="AM175" s="161"/>
      <c r="AN175" s="161"/>
      <c r="AO175" s="161"/>
      <c r="AP175" s="161"/>
      <c r="AQ175" s="161"/>
      <c r="AR175" s="161"/>
      <c r="AS175" s="161"/>
      <c r="AT175" s="161"/>
      <c r="AU175" s="161"/>
      <c r="AV175" s="161"/>
      <c r="AW175" s="161"/>
    </row>
    <row r="176" spans="1:49" ht="12.75" hidden="1" x14ac:dyDescent="0.2">
      <c r="A176" s="163"/>
      <c r="B176" s="161"/>
      <c r="C176" s="161"/>
      <c r="D176" s="161"/>
      <c r="E176" s="161"/>
      <c r="F176" s="161"/>
      <c r="G176" s="161"/>
      <c r="H176" s="161"/>
      <c r="I176" s="161"/>
      <c r="J176" s="161"/>
      <c r="K176" s="161"/>
      <c r="L176" s="161"/>
      <c r="M176" s="161"/>
      <c r="N176" s="161"/>
      <c r="O176" s="161"/>
      <c r="P176" s="161"/>
      <c r="Q176" s="161"/>
      <c r="R176" s="161"/>
      <c r="S176" s="161"/>
      <c r="T176" s="161"/>
      <c r="U176" s="161"/>
      <c r="V176" s="161"/>
      <c r="W176" s="161"/>
      <c r="X176" s="161"/>
      <c r="Y176" s="161"/>
      <c r="Z176" s="161"/>
      <c r="AA176" s="161"/>
      <c r="AB176" s="161"/>
      <c r="AC176" s="161"/>
      <c r="AD176" s="161"/>
      <c r="AE176" s="161"/>
      <c r="AF176" s="161"/>
      <c r="AG176" s="161"/>
      <c r="AH176" s="161"/>
      <c r="AI176" s="161"/>
      <c r="AJ176" s="161"/>
      <c r="AK176" s="161"/>
      <c r="AL176" s="161"/>
      <c r="AM176" s="161"/>
      <c r="AN176" s="161"/>
      <c r="AO176" s="161"/>
      <c r="AP176" s="161"/>
      <c r="AQ176" s="161"/>
      <c r="AR176" s="161"/>
      <c r="AS176" s="161"/>
      <c r="AT176" s="161"/>
      <c r="AU176" s="161"/>
      <c r="AV176" s="161"/>
      <c r="AW176" s="161"/>
    </row>
    <row r="177" spans="1:49" ht="12.75" hidden="1" x14ac:dyDescent="0.2">
      <c r="A177" s="163"/>
      <c r="B177" s="161"/>
      <c r="C177" s="161"/>
      <c r="D177" s="161"/>
      <c r="E177" s="161"/>
      <c r="F177" s="161"/>
      <c r="G177" s="161"/>
      <c r="H177" s="161"/>
      <c r="I177" s="161"/>
      <c r="J177" s="161"/>
      <c r="K177" s="161"/>
      <c r="L177" s="161"/>
      <c r="M177" s="161"/>
      <c r="N177" s="161"/>
      <c r="O177" s="161"/>
      <c r="P177" s="161"/>
      <c r="Q177" s="161"/>
      <c r="R177" s="161"/>
      <c r="S177" s="161"/>
      <c r="T177" s="161"/>
      <c r="U177" s="161"/>
      <c r="V177" s="161"/>
      <c r="W177" s="161"/>
      <c r="X177" s="161"/>
      <c r="Y177" s="161"/>
      <c r="Z177" s="161"/>
      <c r="AA177" s="161"/>
      <c r="AB177" s="161"/>
      <c r="AC177" s="161"/>
      <c r="AD177" s="161"/>
      <c r="AE177" s="161"/>
      <c r="AF177" s="161"/>
      <c r="AG177" s="161"/>
      <c r="AH177" s="161"/>
      <c r="AI177" s="161"/>
      <c r="AJ177" s="161"/>
      <c r="AK177" s="161"/>
      <c r="AL177" s="161"/>
      <c r="AM177" s="161"/>
      <c r="AN177" s="161"/>
      <c r="AO177" s="161"/>
      <c r="AP177" s="161"/>
      <c r="AQ177" s="161"/>
      <c r="AR177" s="161"/>
      <c r="AS177" s="161"/>
      <c r="AT177" s="161"/>
      <c r="AU177" s="161"/>
      <c r="AV177" s="161"/>
      <c r="AW177" s="161"/>
    </row>
    <row r="178" spans="1:49" ht="12.75" hidden="1" x14ac:dyDescent="0.2">
      <c r="A178" s="163"/>
      <c r="B178" s="161"/>
      <c r="C178" s="161"/>
      <c r="D178" s="161"/>
      <c r="E178" s="161"/>
      <c r="F178" s="161"/>
      <c r="G178" s="161"/>
      <c r="H178" s="161"/>
      <c r="I178" s="161"/>
      <c r="J178" s="161"/>
      <c r="K178" s="161"/>
      <c r="L178" s="161"/>
      <c r="M178" s="161"/>
      <c r="N178" s="161"/>
      <c r="O178" s="161"/>
      <c r="P178" s="161"/>
      <c r="Q178" s="161"/>
      <c r="R178" s="161"/>
      <c r="S178" s="161"/>
      <c r="T178" s="161"/>
      <c r="U178" s="161"/>
      <c r="V178" s="161"/>
      <c r="W178" s="161"/>
      <c r="X178" s="161"/>
      <c r="Y178" s="161"/>
      <c r="Z178" s="161"/>
      <c r="AA178" s="161"/>
      <c r="AB178" s="161"/>
      <c r="AC178" s="161"/>
      <c r="AD178" s="161"/>
      <c r="AE178" s="161"/>
      <c r="AF178" s="161"/>
      <c r="AG178" s="161"/>
      <c r="AH178" s="161"/>
      <c r="AI178" s="161"/>
      <c r="AJ178" s="161"/>
      <c r="AK178" s="161"/>
      <c r="AL178" s="161"/>
      <c r="AM178" s="161"/>
      <c r="AN178" s="161"/>
      <c r="AO178" s="161"/>
      <c r="AP178" s="161"/>
      <c r="AQ178" s="161"/>
      <c r="AR178" s="161"/>
      <c r="AS178" s="161"/>
      <c r="AT178" s="161"/>
      <c r="AU178" s="161"/>
      <c r="AV178" s="161"/>
      <c r="AW178" s="161"/>
    </row>
    <row r="179" spans="1:49" ht="12.75" hidden="1" x14ac:dyDescent="0.2">
      <c r="A179" s="163"/>
      <c r="B179" s="161"/>
      <c r="C179" s="161"/>
      <c r="D179" s="161"/>
      <c r="E179" s="161"/>
      <c r="F179" s="161"/>
      <c r="G179" s="161"/>
      <c r="H179" s="161"/>
      <c r="I179" s="161"/>
      <c r="J179" s="161"/>
      <c r="K179" s="161"/>
      <c r="L179" s="161"/>
      <c r="M179" s="161"/>
      <c r="N179" s="161"/>
      <c r="O179" s="161"/>
      <c r="P179" s="161"/>
      <c r="Q179" s="161"/>
      <c r="R179" s="161"/>
      <c r="S179" s="161"/>
      <c r="T179" s="161"/>
      <c r="U179" s="161"/>
      <c r="V179" s="161"/>
      <c r="W179" s="161"/>
      <c r="X179" s="161"/>
      <c r="Y179" s="161"/>
      <c r="Z179" s="161"/>
      <c r="AA179" s="161"/>
      <c r="AB179" s="161"/>
      <c r="AC179" s="161"/>
      <c r="AD179" s="161"/>
      <c r="AE179" s="161"/>
      <c r="AF179" s="161"/>
      <c r="AG179" s="161"/>
      <c r="AH179" s="161"/>
      <c r="AI179" s="161"/>
      <c r="AJ179" s="161"/>
      <c r="AK179" s="161"/>
      <c r="AL179" s="161"/>
      <c r="AM179" s="161"/>
      <c r="AN179" s="161"/>
      <c r="AO179" s="161"/>
      <c r="AP179" s="161"/>
      <c r="AQ179" s="161"/>
      <c r="AR179" s="161"/>
      <c r="AS179" s="161"/>
      <c r="AT179" s="161"/>
      <c r="AU179" s="161"/>
      <c r="AV179" s="161"/>
      <c r="AW179" s="161"/>
    </row>
    <row r="180" spans="1:49" ht="12.75" hidden="1" x14ac:dyDescent="0.2">
      <c r="A180" s="163"/>
      <c r="B180" s="161"/>
      <c r="C180" s="161"/>
      <c r="D180" s="161"/>
      <c r="E180" s="161"/>
      <c r="F180" s="161"/>
      <c r="G180" s="161"/>
      <c r="H180" s="161"/>
      <c r="I180" s="161"/>
      <c r="J180" s="161"/>
      <c r="K180" s="161"/>
      <c r="L180" s="161"/>
      <c r="M180" s="161"/>
      <c r="N180" s="161"/>
      <c r="O180" s="161"/>
      <c r="P180" s="161"/>
      <c r="Q180" s="161"/>
      <c r="R180" s="161"/>
      <c r="S180" s="161"/>
      <c r="T180" s="161"/>
      <c r="U180" s="161"/>
      <c r="V180" s="161"/>
      <c r="W180" s="161"/>
      <c r="X180" s="161"/>
      <c r="Y180" s="161"/>
      <c r="Z180" s="161"/>
      <c r="AA180" s="161"/>
      <c r="AB180" s="161"/>
      <c r="AC180" s="161"/>
      <c r="AD180" s="161"/>
      <c r="AE180" s="161"/>
      <c r="AF180" s="161"/>
      <c r="AG180" s="161"/>
      <c r="AH180" s="161"/>
      <c r="AI180" s="161"/>
      <c r="AJ180" s="161"/>
      <c r="AK180" s="161"/>
      <c r="AL180" s="161"/>
      <c r="AM180" s="161"/>
      <c r="AN180" s="161"/>
      <c r="AO180" s="161"/>
      <c r="AP180" s="161"/>
      <c r="AQ180" s="161"/>
      <c r="AR180" s="161"/>
      <c r="AS180" s="161"/>
      <c r="AT180" s="161"/>
      <c r="AU180" s="161"/>
      <c r="AV180" s="161"/>
      <c r="AW180" s="161"/>
    </row>
    <row r="181" spans="1:49" ht="12.75" hidden="1" x14ac:dyDescent="0.2">
      <c r="A181" s="163"/>
      <c r="B181" s="161"/>
      <c r="C181" s="161"/>
      <c r="D181" s="161"/>
      <c r="E181" s="161"/>
      <c r="F181" s="161"/>
      <c r="G181" s="161"/>
      <c r="H181" s="161"/>
      <c r="I181" s="161"/>
      <c r="J181" s="161"/>
      <c r="K181" s="161"/>
      <c r="L181" s="161"/>
      <c r="M181" s="161"/>
      <c r="N181" s="161"/>
      <c r="O181" s="161"/>
      <c r="P181" s="161"/>
      <c r="Q181" s="161"/>
      <c r="R181" s="161"/>
      <c r="S181" s="161"/>
      <c r="T181" s="161"/>
      <c r="U181" s="161"/>
      <c r="V181" s="161"/>
      <c r="W181" s="161"/>
      <c r="X181" s="161"/>
      <c r="Y181" s="161"/>
      <c r="Z181" s="161"/>
      <c r="AA181" s="161"/>
      <c r="AB181" s="161"/>
      <c r="AC181" s="161"/>
      <c r="AD181" s="161"/>
      <c r="AE181" s="161"/>
      <c r="AF181" s="161"/>
      <c r="AG181" s="161"/>
      <c r="AH181" s="161"/>
      <c r="AI181" s="161"/>
      <c r="AJ181" s="161"/>
      <c r="AK181" s="161"/>
      <c r="AL181" s="161"/>
      <c r="AM181" s="161"/>
      <c r="AN181" s="161"/>
      <c r="AO181" s="161"/>
      <c r="AP181" s="161"/>
      <c r="AQ181" s="161"/>
      <c r="AR181" s="161"/>
      <c r="AS181" s="161"/>
      <c r="AT181" s="161"/>
      <c r="AU181" s="161"/>
      <c r="AV181" s="161"/>
      <c r="AW181" s="161"/>
    </row>
    <row r="182" spans="1:49" ht="12.75" hidden="1" x14ac:dyDescent="0.2">
      <c r="A182" s="163"/>
      <c r="B182" s="161"/>
      <c r="C182" s="161"/>
      <c r="D182" s="161"/>
      <c r="E182" s="161"/>
      <c r="F182" s="161"/>
      <c r="G182" s="161"/>
      <c r="H182" s="161"/>
      <c r="I182" s="161"/>
      <c r="J182" s="161"/>
      <c r="K182" s="161"/>
      <c r="L182" s="161"/>
      <c r="M182" s="161"/>
      <c r="N182" s="161"/>
      <c r="O182" s="161"/>
      <c r="P182" s="161"/>
      <c r="Q182" s="161"/>
      <c r="R182" s="161"/>
      <c r="S182" s="161"/>
      <c r="T182" s="161"/>
      <c r="U182" s="161"/>
      <c r="V182" s="161"/>
      <c r="W182" s="161"/>
      <c r="X182" s="161"/>
      <c r="Y182" s="161"/>
      <c r="Z182" s="161"/>
      <c r="AA182" s="161"/>
      <c r="AB182" s="161"/>
      <c r="AC182" s="161"/>
      <c r="AD182" s="161"/>
      <c r="AE182" s="161"/>
      <c r="AF182" s="161"/>
      <c r="AG182" s="161"/>
      <c r="AH182" s="161"/>
      <c r="AI182" s="161"/>
      <c r="AJ182" s="161"/>
      <c r="AK182" s="161"/>
      <c r="AL182" s="161"/>
      <c r="AM182" s="161"/>
      <c r="AN182" s="161"/>
      <c r="AO182" s="161"/>
      <c r="AP182" s="161"/>
      <c r="AQ182" s="161"/>
      <c r="AR182" s="161"/>
      <c r="AS182" s="161"/>
      <c r="AT182" s="161"/>
      <c r="AU182" s="161"/>
      <c r="AV182" s="161"/>
      <c r="AW182" s="161"/>
    </row>
    <row r="183" spans="1:49" ht="12.75" hidden="1" x14ac:dyDescent="0.2">
      <c r="A183" s="163"/>
      <c r="B183" s="161"/>
      <c r="C183" s="161"/>
      <c r="D183" s="161"/>
      <c r="E183" s="161"/>
      <c r="F183" s="161"/>
      <c r="G183" s="161"/>
      <c r="H183" s="161"/>
      <c r="I183" s="161"/>
      <c r="J183" s="161"/>
      <c r="K183" s="161"/>
      <c r="L183" s="161"/>
      <c r="M183" s="161"/>
      <c r="N183" s="161"/>
      <c r="O183" s="161"/>
      <c r="P183" s="161"/>
      <c r="Q183" s="161"/>
      <c r="R183" s="161"/>
      <c r="S183" s="161"/>
      <c r="T183" s="161"/>
      <c r="U183" s="161"/>
      <c r="V183" s="161"/>
      <c r="W183" s="161"/>
      <c r="X183" s="161"/>
      <c r="Y183" s="161"/>
      <c r="Z183" s="161"/>
      <c r="AA183" s="161"/>
      <c r="AB183" s="161"/>
      <c r="AC183" s="161"/>
      <c r="AD183" s="161"/>
      <c r="AE183" s="161"/>
      <c r="AF183" s="161"/>
      <c r="AG183" s="161"/>
      <c r="AH183" s="161"/>
      <c r="AI183" s="161"/>
      <c r="AJ183" s="161"/>
      <c r="AK183" s="161"/>
      <c r="AL183" s="161"/>
      <c r="AM183" s="161"/>
      <c r="AN183" s="161"/>
      <c r="AO183" s="161"/>
      <c r="AP183" s="161"/>
      <c r="AQ183" s="161"/>
      <c r="AR183" s="161"/>
      <c r="AS183" s="161"/>
      <c r="AT183" s="161"/>
      <c r="AU183" s="161"/>
      <c r="AV183" s="161"/>
      <c r="AW183" s="161"/>
    </row>
    <row r="184" spans="1:49" ht="12.75" hidden="1" x14ac:dyDescent="0.2">
      <c r="A184" s="163"/>
      <c r="B184" s="161"/>
      <c r="C184" s="161"/>
      <c r="D184" s="161"/>
      <c r="E184" s="161"/>
      <c r="F184" s="161"/>
      <c r="G184" s="161"/>
      <c r="H184" s="161"/>
      <c r="I184" s="161"/>
      <c r="J184" s="161"/>
      <c r="K184" s="161"/>
      <c r="L184" s="161"/>
      <c r="M184" s="161"/>
      <c r="N184" s="161"/>
      <c r="O184" s="161"/>
      <c r="P184" s="161"/>
      <c r="Q184" s="161"/>
      <c r="R184" s="161"/>
      <c r="S184" s="161"/>
      <c r="T184" s="161"/>
      <c r="U184" s="161"/>
      <c r="V184" s="161"/>
      <c r="W184" s="161"/>
      <c r="X184" s="161"/>
      <c r="Y184" s="161"/>
      <c r="Z184" s="161"/>
      <c r="AA184" s="161"/>
      <c r="AB184" s="161"/>
      <c r="AC184" s="161"/>
      <c r="AD184" s="161"/>
      <c r="AE184" s="161"/>
      <c r="AF184" s="161"/>
      <c r="AG184" s="161"/>
      <c r="AH184" s="161"/>
      <c r="AI184" s="161"/>
      <c r="AJ184" s="161"/>
      <c r="AK184" s="161"/>
      <c r="AL184" s="161"/>
      <c r="AM184" s="161"/>
      <c r="AN184" s="161"/>
      <c r="AO184" s="161"/>
      <c r="AP184" s="161"/>
      <c r="AQ184" s="161"/>
      <c r="AR184" s="161"/>
      <c r="AS184" s="161"/>
      <c r="AT184" s="161"/>
      <c r="AU184" s="161"/>
      <c r="AV184" s="161"/>
      <c r="AW184" s="161"/>
    </row>
    <row r="185" spans="1:49" ht="12.75" hidden="1" x14ac:dyDescent="0.2">
      <c r="A185" s="163"/>
      <c r="B185" s="161"/>
      <c r="C185" s="161"/>
      <c r="D185" s="161"/>
      <c r="E185" s="161"/>
      <c r="F185" s="161"/>
      <c r="G185" s="161"/>
      <c r="H185" s="161"/>
      <c r="I185" s="161"/>
      <c r="J185" s="161"/>
      <c r="K185" s="161"/>
      <c r="L185" s="161"/>
      <c r="M185" s="161"/>
      <c r="N185" s="161"/>
      <c r="O185" s="161"/>
      <c r="P185" s="161"/>
      <c r="Q185" s="161"/>
      <c r="R185" s="161"/>
      <c r="S185" s="161"/>
      <c r="T185" s="161"/>
      <c r="U185" s="161"/>
      <c r="V185" s="161"/>
      <c r="W185" s="161"/>
      <c r="X185" s="161"/>
      <c r="Y185" s="161"/>
      <c r="Z185" s="161"/>
      <c r="AA185" s="161"/>
      <c r="AB185" s="161"/>
      <c r="AC185" s="161"/>
      <c r="AD185" s="161"/>
      <c r="AE185" s="161"/>
      <c r="AF185" s="161"/>
      <c r="AG185" s="161"/>
      <c r="AH185" s="161"/>
      <c r="AI185" s="161"/>
      <c r="AJ185" s="161"/>
      <c r="AK185" s="161"/>
      <c r="AL185" s="161"/>
      <c r="AM185" s="161"/>
      <c r="AN185" s="161"/>
      <c r="AO185" s="161"/>
      <c r="AP185" s="161"/>
      <c r="AQ185" s="161"/>
      <c r="AR185" s="161"/>
      <c r="AS185" s="161"/>
      <c r="AT185" s="161"/>
      <c r="AU185" s="161"/>
      <c r="AV185" s="161"/>
      <c r="AW185" s="161"/>
    </row>
    <row r="186" spans="1:49" ht="12.75" hidden="1" x14ac:dyDescent="0.2">
      <c r="A186" s="163"/>
      <c r="B186" s="161"/>
      <c r="C186" s="161"/>
      <c r="D186" s="161"/>
      <c r="E186" s="161"/>
      <c r="F186" s="161"/>
      <c r="G186" s="161"/>
      <c r="H186" s="161"/>
      <c r="I186" s="161"/>
      <c r="J186" s="161"/>
      <c r="K186" s="161"/>
      <c r="L186" s="161"/>
      <c r="M186" s="161"/>
      <c r="N186" s="161"/>
      <c r="O186" s="161"/>
      <c r="P186" s="161"/>
      <c r="Q186" s="161"/>
      <c r="R186" s="161"/>
      <c r="S186" s="161"/>
      <c r="T186" s="161"/>
      <c r="U186" s="161"/>
      <c r="V186" s="161"/>
      <c r="W186" s="161"/>
      <c r="X186" s="161"/>
      <c r="Y186" s="161"/>
      <c r="Z186" s="161"/>
      <c r="AA186" s="161"/>
      <c r="AB186" s="161"/>
      <c r="AC186" s="161"/>
      <c r="AD186" s="161"/>
      <c r="AE186" s="161"/>
      <c r="AF186" s="161"/>
      <c r="AG186" s="161"/>
      <c r="AH186" s="161"/>
      <c r="AI186" s="161"/>
      <c r="AJ186" s="161"/>
      <c r="AK186" s="161"/>
      <c r="AL186" s="161"/>
      <c r="AM186" s="161"/>
      <c r="AN186" s="161"/>
      <c r="AO186" s="161"/>
      <c r="AP186" s="161"/>
      <c r="AQ186" s="161"/>
      <c r="AR186" s="161"/>
      <c r="AS186" s="161"/>
      <c r="AT186" s="161"/>
      <c r="AU186" s="161"/>
      <c r="AV186" s="161"/>
      <c r="AW186" s="161"/>
    </row>
    <row r="187" spans="1:49" ht="12.75" hidden="1" x14ac:dyDescent="0.2">
      <c r="A187" s="163"/>
      <c r="B187" s="161"/>
      <c r="C187" s="161"/>
      <c r="D187" s="161"/>
      <c r="E187" s="161"/>
      <c r="F187" s="161"/>
      <c r="G187" s="161"/>
      <c r="H187" s="161"/>
      <c r="I187" s="161"/>
      <c r="J187" s="161"/>
      <c r="K187" s="161"/>
      <c r="L187" s="161"/>
      <c r="M187" s="161"/>
      <c r="N187" s="161"/>
      <c r="O187" s="161"/>
      <c r="P187" s="161"/>
      <c r="Q187" s="161"/>
      <c r="R187" s="161"/>
      <c r="S187" s="161"/>
      <c r="T187" s="161"/>
      <c r="U187" s="161"/>
      <c r="V187" s="161"/>
      <c r="W187" s="161"/>
      <c r="X187" s="161"/>
      <c r="Y187" s="161"/>
      <c r="Z187" s="161"/>
      <c r="AA187" s="161"/>
      <c r="AB187" s="161"/>
      <c r="AC187" s="161"/>
      <c r="AD187" s="161"/>
      <c r="AE187" s="161"/>
      <c r="AF187" s="161"/>
      <c r="AG187" s="161"/>
      <c r="AH187" s="161"/>
      <c r="AI187" s="161"/>
      <c r="AJ187" s="161"/>
      <c r="AK187" s="161"/>
      <c r="AL187" s="161"/>
      <c r="AM187" s="161"/>
      <c r="AN187" s="161"/>
      <c r="AO187" s="161"/>
      <c r="AP187" s="161"/>
      <c r="AQ187" s="161"/>
      <c r="AR187" s="161"/>
      <c r="AS187" s="161"/>
      <c r="AT187" s="161"/>
      <c r="AU187" s="161"/>
      <c r="AV187" s="161"/>
      <c r="AW187" s="161"/>
    </row>
    <row r="188" spans="1:49" ht="12.75" hidden="1" x14ac:dyDescent="0.2">
      <c r="A188" s="163"/>
      <c r="B188" s="161"/>
      <c r="C188" s="161"/>
      <c r="D188" s="161"/>
      <c r="E188" s="161"/>
      <c r="F188" s="161"/>
      <c r="G188" s="161"/>
      <c r="H188" s="161"/>
      <c r="I188" s="161"/>
      <c r="J188" s="161"/>
      <c r="K188" s="161"/>
      <c r="L188" s="161"/>
      <c r="M188" s="161"/>
      <c r="N188" s="161"/>
      <c r="O188" s="161"/>
      <c r="P188" s="161"/>
      <c r="Q188" s="161"/>
      <c r="R188" s="161"/>
      <c r="S188" s="161"/>
      <c r="T188" s="161"/>
      <c r="U188" s="161"/>
      <c r="V188" s="161"/>
      <c r="W188" s="161"/>
      <c r="X188" s="161"/>
      <c r="Y188" s="161"/>
      <c r="Z188" s="161"/>
      <c r="AA188" s="161"/>
      <c r="AB188" s="161"/>
      <c r="AC188" s="161"/>
      <c r="AD188" s="161"/>
      <c r="AE188" s="161"/>
      <c r="AF188" s="161"/>
      <c r="AG188" s="161"/>
      <c r="AH188" s="161"/>
      <c r="AI188" s="161"/>
      <c r="AJ188" s="161"/>
      <c r="AK188" s="161"/>
      <c r="AL188" s="161"/>
      <c r="AM188" s="161"/>
      <c r="AN188" s="161"/>
      <c r="AO188" s="161"/>
      <c r="AP188" s="161"/>
      <c r="AQ188" s="161"/>
      <c r="AR188" s="161"/>
      <c r="AS188" s="161"/>
      <c r="AT188" s="161"/>
      <c r="AU188" s="161"/>
      <c r="AV188" s="161"/>
      <c r="AW188" s="161"/>
    </row>
    <row r="189" spans="1:49" ht="12.75" hidden="1" x14ac:dyDescent="0.2">
      <c r="A189" s="163"/>
      <c r="B189" s="161"/>
      <c r="C189" s="161"/>
      <c r="D189" s="161"/>
      <c r="E189" s="161"/>
      <c r="F189" s="161"/>
      <c r="G189" s="161"/>
      <c r="H189" s="161"/>
      <c r="I189" s="161"/>
      <c r="J189" s="161"/>
      <c r="K189" s="161"/>
      <c r="L189" s="161"/>
      <c r="M189" s="161"/>
      <c r="N189" s="161"/>
      <c r="O189" s="161"/>
      <c r="P189" s="161"/>
      <c r="Q189" s="161"/>
      <c r="R189" s="161"/>
      <c r="S189" s="161"/>
      <c r="T189" s="161"/>
      <c r="U189" s="161"/>
      <c r="V189" s="161"/>
      <c r="W189" s="161"/>
      <c r="X189" s="161"/>
      <c r="Y189" s="161"/>
      <c r="Z189" s="161"/>
      <c r="AA189" s="161"/>
      <c r="AB189" s="161"/>
      <c r="AC189" s="161"/>
      <c r="AD189" s="161"/>
      <c r="AE189" s="161"/>
      <c r="AF189" s="161"/>
      <c r="AG189" s="161"/>
      <c r="AH189" s="161"/>
      <c r="AI189" s="161"/>
      <c r="AJ189" s="161"/>
      <c r="AK189" s="161"/>
      <c r="AL189" s="161"/>
      <c r="AM189" s="161"/>
      <c r="AN189" s="161"/>
      <c r="AO189" s="161"/>
      <c r="AP189" s="161"/>
      <c r="AQ189" s="161"/>
      <c r="AR189" s="161"/>
      <c r="AS189" s="161"/>
      <c r="AT189" s="161"/>
      <c r="AU189" s="161"/>
      <c r="AV189" s="161"/>
      <c r="AW189" s="161"/>
    </row>
    <row r="190" spans="1:49" ht="12.75" hidden="1" x14ac:dyDescent="0.2">
      <c r="A190" s="163"/>
      <c r="B190" s="161"/>
      <c r="C190" s="161"/>
      <c r="D190" s="161"/>
      <c r="E190" s="161"/>
      <c r="F190" s="161"/>
      <c r="G190" s="161"/>
      <c r="H190" s="161"/>
      <c r="I190" s="161"/>
      <c r="J190" s="161"/>
      <c r="K190" s="161"/>
      <c r="L190" s="161"/>
      <c r="M190" s="161"/>
      <c r="N190" s="161"/>
      <c r="O190" s="161"/>
      <c r="P190" s="161"/>
      <c r="Q190" s="161"/>
      <c r="R190" s="161"/>
      <c r="S190" s="161"/>
      <c r="T190" s="161"/>
      <c r="U190" s="161"/>
      <c r="V190" s="161"/>
      <c r="W190" s="161"/>
      <c r="X190" s="161"/>
      <c r="Y190" s="161"/>
      <c r="Z190" s="161"/>
      <c r="AA190" s="161"/>
      <c r="AB190" s="161"/>
      <c r="AC190" s="161"/>
      <c r="AD190" s="161"/>
      <c r="AE190" s="161"/>
      <c r="AF190" s="161"/>
      <c r="AG190" s="161"/>
      <c r="AH190" s="161"/>
      <c r="AI190" s="161"/>
      <c r="AJ190" s="161"/>
      <c r="AK190" s="161"/>
      <c r="AL190" s="161"/>
      <c r="AM190" s="161"/>
      <c r="AN190" s="161"/>
      <c r="AO190" s="161"/>
      <c r="AP190" s="161"/>
      <c r="AQ190" s="161"/>
      <c r="AR190" s="161"/>
      <c r="AS190" s="161"/>
      <c r="AT190" s="161"/>
      <c r="AU190" s="161"/>
      <c r="AV190" s="161"/>
      <c r="AW190" s="161"/>
    </row>
    <row r="191" spans="1:49" ht="12.75" hidden="1" x14ac:dyDescent="0.2">
      <c r="A191" s="163"/>
      <c r="B191" s="161"/>
      <c r="C191" s="161"/>
      <c r="D191" s="161"/>
      <c r="E191" s="161"/>
      <c r="F191" s="161"/>
      <c r="G191" s="161"/>
      <c r="H191" s="161"/>
      <c r="I191" s="161"/>
      <c r="J191" s="161"/>
      <c r="K191" s="161"/>
      <c r="L191" s="161"/>
      <c r="M191" s="161"/>
      <c r="N191" s="161"/>
      <c r="O191" s="161"/>
      <c r="P191" s="161"/>
      <c r="Q191" s="161"/>
      <c r="R191" s="161"/>
      <c r="S191" s="161"/>
      <c r="T191" s="161"/>
      <c r="U191" s="161"/>
      <c r="V191" s="161"/>
      <c r="W191" s="161"/>
      <c r="X191" s="161"/>
      <c r="Y191" s="161"/>
      <c r="Z191" s="161"/>
      <c r="AA191" s="161"/>
      <c r="AB191" s="161"/>
      <c r="AC191" s="161"/>
      <c r="AD191" s="161"/>
      <c r="AE191" s="161"/>
      <c r="AF191" s="161"/>
      <c r="AG191" s="161"/>
      <c r="AH191" s="161"/>
      <c r="AI191" s="161"/>
      <c r="AJ191" s="161"/>
      <c r="AK191" s="161"/>
      <c r="AL191" s="161"/>
      <c r="AM191" s="161"/>
      <c r="AN191" s="161"/>
      <c r="AO191" s="161"/>
      <c r="AP191" s="161"/>
      <c r="AQ191" s="161"/>
      <c r="AR191" s="161"/>
      <c r="AS191" s="161"/>
      <c r="AT191" s="161"/>
      <c r="AU191" s="161"/>
      <c r="AV191" s="161"/>
      <c r="AW191" s="161"/>
    </row>
    <row r="192" spans="1:49" ht="12.75" hidden="1" x14ac:dyDescent="0.2">
      <c r="A192" s="163"/>
      <c r="B192" s="161"/>
      <c r="C192" s="161"/>
      <c r="D192" s="161"/>
      <c r="E192" s="161"/>
      <c r="F192" s="161"/>
      <c r="G192" s="161"/>
      <c r="H192" s="161"/>
      <c r="I192" s="161"/>
      <c r="J192" s="161"/>
      <c r="K192" s="161"/>
      <c r="L192" s="161"/>
      <c r="M192" s="161"/>
      <c r="N192" s="161"/>
      <c r="O192" s="161"/>
      <c r="P192" s="161"/>
      <c r="Q192" s="161"/>
      <c r="R192" s="161"/>
      <c r="S192" s="161"/>
      <c r="T192" s="161"/>
      <c r="U192" s="161"/>
      <c r="V192" s="161"/>
      <c r="W192" s="161"/>
      <c r="X192" s="161"/>
      <c r="Y192" s="161"/>
      <c r="Z192" s="161"/>
      <c r="AA192" s="161"/>
      <c r="AB192" s="161"/>
      <c r="AC192" s="161"/>
      <c r="AD192" s="161"/>
      <c r="AE192" s="161"/>
      <c r="AF192" s="161"/>
      <c r="AG192" s="161"/>
      <c r="AH192" s="161"/>
      <c r="AI192" s="161"/>
      <c r="AJ192" s="161"/>
      <c r="AK192" s="161"/>
      <c r="AL192" s="161"/>
      <c r="AM192" s="161"/>
      <c r="AN192" s="161"/>
      <c r="AO192" s="161"/>
      <c r="AP192" s="161"/>
      <c r="AQ192" s="161"/>
      <c r="AR192" s="161"/>
      <c r="AS192" s="161"/>
      <c r="AT192" s="161"/>
      <c r="AU192" s="161"/>
      <c r="AV192" s="161"/>
      <c r="AW192" s="161"/>
    </row>
    <row r="193" spans="1:49" ht="12.75" hidden="1" x14ac:dyDescent="0.2">
      <c r="A193" s="163"/>
      <c r="B193" s="161"/>
      <c r="C193" s="161"/>
      <c r="D193" s="161"/>
      <c r="E193" s="161"/>
      <c r="F193" s="161"/>
      <c r="G193" s="161"/>
      <c r="H193" s="161"/>
      <c r="I193" s="161"/>
      <c r="J193" s="161"/>
      <c r="K193" s="161"/>
      <c r="L193" s="161"/>
      <c r="M193" s="161"/>
      <c r="N193" s="161"/>
      <c r="O193" s="161"/>
      <c r="P193" s="161"/>
      <c r="Q193" s="161"/>
      <c r="R193" s="161"/>
      <c r="S193" s="161"/>
      <c r="T193" s="161"/>
      <c r="U193" s="161"/>
      <c r="V193" s="161"/>
      <c r="W193" s="161"/>
      <c r="X193" s="161"/>
      <c r="Y193" s="161"/>
      <c r="Z193" s="161"/>
      <c r="AA193" s="161"/>
      <c r="AB193" s="161"/>
      <c r="AC193" s="161"/>
      <c r="AD193" s="161"/>
      <c r="AE193" s="161"/>
      <c r="AF193" s="161"/>
      <c r="AG193" s="161"/>
      <c r="AH193" s="161"/>
      <c r="AI193" s="161"/>
      <c r="AJ193" s="161"/>
      <c r="AK193" s="161"/>
      <c r="AL193" s="161"/>
      <c r="AM193" s="161"/>
      <c r="AN193" s="161"/>
      <c r="AO193" s="161"/>
      <c r="AP193" s="161"/>
      <c r="AQ193" s="161"/>
      <c r="AR193" s="161"/>
      <c r="AS193" s="161"/>
      <c r="AT193" s="161"/>
      <c r="AU193" s="161"/>
      <c r="AV193" s="161"/>
      <c r="AW193" s="161"/>
    </row>
    <row r="194" spans="1:49" ht="12.75" hidden="1" x14ac:dyDescent="0.2">
      <c r="A194" s="163"/>
      <c r="B194" s="161"/>
      <c r="C194" s="161"/>
      <c r="D194" s="161"/>
      <c r="E194" s="161"/>
      <c r="F194" s="161"/>
      <c r="G194" s="161"/>
      <c r="H194" s="161"/>
      <c r="I194" s="161"/>
      <c r="J194" s="161"/>
      <c r="K194" s="161"/>
      <c r="L194" s="161"/>
      <c r="M194" s="161"/>
      <c r="N194" s="161"/>
      <c r="O194" s="161"/>
      <c r="P194" s="161"/>
      <c r="Q194" s="161"/>
      <c r="R194" s="161"/>
      <c r="S194" s="161"/>
      <c r="T194" s="161"/>
      <c r="U194" s="161"/>
      <c r="V194" s="161"/>
      <c r="W194" s="161"/>
      <c r="X194" s="161"/>
      <c r="Y194" s="161"/>
      <c r="Z194" s="161"/>
      <c r="AA194" s="161"/>
      <c r="AB194" s="161"/>
      <c r="AC194" s="161"/>
      <c r="AD194" s="161"/>
      <c r="AE194" s="161"/>
      <c r="AF194" s="161"/>
      <c r="AG194" s="161"/>
      <c r="AH194" s="161"/>
      <c r="AI194" s="161"/>
      <c r="AJ194" s="161"/>
      <c r="AK194" s="161"/>
      <c r="AL194" s="161"/>
      <c r="AM194" s="161"/>
      <c r="AN194" s="161"/>
      <c r="AO194" s="161"/>
      <c r="AP194" s="161"/>
      <c r="AQ194" s="161"/>
      <c r="AR194" s="161"/>
      <c r="AS194" s="161"/>
      <c r="AT194" s="161"/>
      <c r="AU194" s="161"/>
      <c r="AV194" s="161"/>
      <c r="AW194" s="161"/>
    </row>
    <row r="195" spans="1:49" ht="12.75" hidden="1" x14ac:dyDescent="0.2">
      <c r="A195" s="163"/>
      <c r="B195" s="161"/>
      <c r="C195" s="161"/>
      <c r="D195" s="161"/>
      <c r="E195" s="161"/>
      <c r="F195" s="161"/>
      <c r="G195" s="161"/>
      <c r="H195" s="161"/>
      <c r="I195" s="161"/>
      <c r="J195" s="161"/>
      <c r="K195" s="161"/>
      <c r="L195" s="161"/>
      <c r="M195" s="161"/>
      <c r="N195" s="161"/>
      <c r="O195" s="161"/>
      <c r="P195" s="161"/>
      <c r="Q195" s="161"/>
      <c r="R195" s="161"/>
      <c r="S195" s="161"/>
      <c r="T195" s="161"/>
      <c r="U195" s="161"/>
      <c r="V195" s="161"/>
      <c r="W195" s="161"/>
      <c r="X195" s="161"/>
      <c r="Y195" s="161"/>
      <c r="Z195" s="161"/>
      <c r="AA195" s="161"/>
      <c r="AB195" s="161"/>
      <c r="AC195" s="161"/>
      <c r="AD195" s="161"/>
      <c r="AE195" s="161"/>
      <c r="AF195" s="161"/>
      <c r="AG195" s="161"/>
      <c r="AH195" s="161"/>
      <c r="AI195" s="161"/>
      <c r="AJ195" s="161"/>
      <c r="AK195" s="161"/>
      <c r="AL195" s="161"/>
      <c r="AM195" s="161"/>
      <c r="AN195" s="161"/>
      <c r="AO195" s="161"/>
      <c r="AP195" s="161"/>
      <c r="AQ195" s="161"/>
      <c r="AR195" s="161"/>
      <c r="AS195" s="161"/>
      <c r="AT195" s="161"/>
      <c r="AU195" s="161"/>
      <c r="AV195" s="161"/>
      <c r="AW195" s="161"/>
    </row>
    <row r="196" spans="1:49" ht="12.75" hidden="1" x14ac:dyDescent="0.2">
      <c r="A196" s="163"/>
      <c r="B196" s="161"/>
      <c r="C196" s="161"/>
      <c r="D196" s="161"/>
      <c r="E196" s="161"/>
      <c r="F196" s="161"/>
      <c r="G196" s="161"/>
      <c r="H196" s="161"/>
      <c r="I196" s="161"/>
      <c r="J196" s="161"/>
      <c r="K196" s="161"/>
      <c r="L196" s="161"/>
      <c r="M196" s="161"/>
      <c r="N196" s="161"/>
      <c r="O196" s="161"/>
      <c r="P196" s="161"/>
      <c r="Q196" s="161"/>
      <c r="R196" s="161"/>
      <c r="S196" s="161"/>
      <c r="T196" s="161"/>
      <c r="U196" s="161"/>
      <c r="V196" s="161"/>
      <c r="W196" s="161"/>
      <c r="X196" s="161"/>
      <c r="Y196" s="161"/>
      <c r="Z196" s="161"/>
      <c r="AA196" s="161"/>
      <c r="AB196" s="161"/>
      <c r="AC196" s="161"/>
      <c r="AD196" s="161"/>
      <c r="AE196" s="161"/>
      <c r="AF196" s="161"/>
      <c r="AG196" s="161"/>
      <c r="AH196" s="161"/>
      <c r="AI196" s="161"/>
      <c r="AJ196" s="161"/>
      <c r="AK196" s="161"/>
      <c r="AL196" s="161"/>
      <c r="AM196" s="161"/>
      <c r="AN196" s="161"/>
      <c r="AO196" s="161"/>
      <c r="AP196" s="161"/>
      <c r="AQ196" s="161"/>
      <c r="AR196" s="161"/>
      <c r="AS196" s="161"/>
      <c r="AT196" s="161"/>
      <c r="AU196" s="161"/>
      <c r="AV196" s="161"/>
      <c r="AW196" s="161"/>
    </row>
    <row r="197" spans="1:49" ht="12.75" hidden="1" x14ac:dyDescent="0.2">
      <c r="A197" s="163"/>
      <c r="B197" s="161"/>
      <c r="C197" s="161"/>
      <c r="D197" s="161"/>
      <c r="E197" s="161"/>
      <c r="F197" s="161"/>
      <c r="G197" s="161"/>
      <c r="H197" s="161"/>
      <c r="I197" s="161"/>
      <c r="J197" s="161"/>
      <c r="K197" s="161"/>
      <c r="L197" s="161"/>
      <c r="M197" s="161"/>
      <c r="N197" s="161"/>
      <c r="O197" s="161"/>
      <c r="P197" s="161"/>
      <c r="Q197" s="161"/>
      <c r="R197" s="161"/>
      <c r="S197" s="161"/>
      <c r="T197" s="161"/>
      <c r="U197" s="161"/>
      <c r="V197" s="161"/>
      <c r="W197" s="161"/>
      <c r="X197" s="161"/>
      <c r="Y197" s="161"/>
      <c r="Z197" s="161"/>
      <c r="AA197" s="161"/>
      <c r="AB197" s="161"/>
      <c r="AC197" s="161"/>
      <c r="AD197" s="161"/>
      <c r="AE197" s="161"/>
      <c r="AF197" s="161"/>
      <c r="AG197" s="161"/>
      <c r="AH197" s="161"/>
      <c r="AI197" s="161"/>
      <c r="AJ197" s="161"/>
      <c r="AK197" s="161"/>
      <c r="AL197" s="161"/>
      <c r="AM197" s="161"/>
      <c r="AN197" s="161"/>
      <c r="AO197" s="161"/>
      <c r="AP197" s="161"/>
      <c r="AQ197" s="161"/>
      <c r="AR197" s="161"/>
      <c r="AS197" s="161"/>
      <c r="AT197" s="161"/>
      <c r="AU197" s="161"/>
      <c r="AV197" s="161"/>
      <c r="AW197" s="161"/>
    </row>
    <row r="198" spans="1:49" ht="12.75" x14ac:dyDescent="0.2">
      <c r="A198" s="163"/>
      <c r="B198" s="161"/>
      <c r="C198" s="161"/>
      <c r="D198" s="161"/>
      <c r="E198" s="161"/>
      <c r="F198" s="161"/>
      <c r="G198" s="161"/>
      <c r="H198" s="161"/>
      <c r="I198" s="161"/>
      <c r="J198" s="161"/>
      <c r="K198" s="161"/>
      <c r="L198" s="161"/>
      <c r="M198" s="161"/>
      <c r="N198" s="161"/>
      <c r="O198" s="161"/>
      <c r="P198" s="161"/>
      <c r="Q198" s="161"/>
      <c r="R198" s="161"/>
      <c r="S198" s="161"/>
      <c r="T198" s="161"/>
      <c r="U198" s="161"/>
      <c r="V198" s="161"/>
      <c r="W198" s="161"/>
      <c r="X198" s="161"/>
      <c r="Y198" s="161"/>
      <c r="Z198" s="161"/>
      <c r="AA198" s="161"/>
      <c r="AB198" s="161"/>
      <c r="AC198" s="161"/>
      <c r="AD198" s="161"/>
      <c r="AE198" s="161"/>
      <c r="AF198" s="161"/>
      <c r="AG198" s="161"/>
      <c r="AH198" s="161"/>
      <c r="AI198" s="161"/>
      <c r="AJ198" s="161"/>
      <c r="AK198" s="161"/>
      <c r="AL198" s="161"/>
      <c r="AM198" s="161"/>
      <c r="AN198" s="161"/>
      <c r="AO198" s="161"/>
      <c r="AP198" s="161"/>
      <c r="AQ198" s="161"/>
      <c r="AR198" s="161"/>
      <c r="AS198" s="161"/>
      <c r="AT198" s="161"/>
      <c r="AU198" s="161"/>
      <c r="AV198" s="161"/>
      <c r="AW198" s="161"/>
    </row>
    <row r="199" spans="1:49" ht="12.75" x14ac:dyDescent="0.2">
      <c r="A199" s="163"/>
      <c r="B199" s="161"/>
      <c r="C199" s="161"/>
      <c r="D199" s="161"/>
      <c r="E199" s="161"/>
      <c r="F199" s="161"/>
      <c r="G199" s="161"/>
      <c r="H199" s="161"/>
      <c r="I199" s="161"/>
      <c r="J199" s="161"/>
      <c r="K199" s="161"/>
      <c r="L199" s="161"/>
      <c r="M199" s="161"/>
      <c r="N199" s="161"/>
      <c r="O199" s="161"/>
      <c r="P199" s="161"/>
      <c r="Q199" s="161"/>
      <c r="R199" s="161"/>
      <c r="S199" s="161"/>
      <c r="T199" s="161"/>
      <c r="U199" s="161"/>
      <c r="V199" s="161"/>
      <c r="W199" s="161"/>
      <c r="X199" s="161"/>
      <c r="Y199" s="161"/>
      <c r="Z199" s="161"/>
      <c r="AA199" s="161"/>
      <c r="AB199" s="161"/>
      <c r="AC199" s="161"/>
      <c r="AD199" s="161"/>
      <c r="AE199" s="161"/>
      <c r="AF199" s="161"/>
      <c r="AG199" s="161"/>
      <c r="AH199" s="161"/>
      <c r="AI199" s="161"/>
      <c r="AJ199" s="161"/>
      <c r="AK199" s="161"/>
      <c r="AL199" s="161"/>
      <c r="AM199" s="161"/>
      <c r="AN199" s="161"/>
      <c r="AO199" s="161"/>
      <c r="AP199" s="161"/>
      <c r="AQ199" s="161"/>
      <c r="AR199" s="161"/>
      <c r="AS199" s="161"/>
      <c r="AT199" s="161"/>
      <c r="AU199" s="161"/>
      <c r="AV199" s="161"/>
      <c r="AW199" s="161"/>
    </row>
    <row r="200" spans="1:49" ht="12.75" x14ac:dyDescent="0.2">
      <c r="A200" s="163"/>
      <c r="B200" s="161"/>
      <c r="C200" s="161"/>
      <c r="D200" s="161"/>
      <c r="E200" s="161"/>
      <c r="F200" s="161"/>
      <c r="G200" s="161"/>
      <c r="H200" s="161"/>
      <c r="I200" s="161"/>
      <c r="J200" s="161"/>
      <c r="K200" s="161"/>
      <c r="L200" s="161"/>
      <c r="M200" s="161"/>
      <c r="N200" s="161"/>
      <c r="O200" s="161"/>
      <c r="P200" s="161"/>
      <c r="Q200" s="161"/>
      <c r="R200" s="161"/>
      <c r="S200" s="161"/>
      <c r="T200" s="161"/>
      <c r="U200" s="161"/>
      <c r="V200" s="161"/>
      <c r="W200" s="161"/>
      <c r="X200" s="161"/>
      <c r="Y200" s="161"/>
      <c r="Z200" s="161"/>
      <c r="AA200" s="161"/>
      <c r="AB200" s="161"/>
      <c r="AC200" s="161"/>
      <c r="AD200" s="161"/>
      <c r="AE200" s="161"/>
      <c r="AF200" s="161"/>
      <c r="AG200" s="161"/>
      <c r="AH200" s="161"/>
      <c r="AI200" s="161"/>
      <c r="AJ200" s="161"/>
      <c r="AK200" s="161"/>
      <c r="AL200" s="161"/>
      <c r="AM200" s="161"/>
      <c r="AN200" s="161"/>
      <c r="AO200" s="161"/>
      <c r="AP200" s="161"/>
      <c r="AQ200" s="161"/>
      <c r="AR200" s="161"/>
      <c r="AS200" s="161"/>
      <c r="AT200" s="161"/>
      <c r="AU200" s="161"/>
      <c r="AV200" s="161"/>
      <c r="AW200" s="161"/>
    </row>
    <row r="201" spans="1:49" ht="12.75" x14ac:dyDescent="0.2">
      <c r="A201" s="163"/>
      <c r="B201" s="161"/>
      <c r="C201" s="161"/>
      <c r="D201" s="161"/>
      <c r="E201" s="161"/>
      <c r="F201" s="161"/>
      <c r="G201" s="161"/>
      <c r="H201" s="161"/>
      <c r="I201" s="161"/>
      <c r="J201" s="161"/>
      <c r="K201" s="161"/>
      <c r="L201" s="161"/>
      <c r="M201" s="161"/>
      <c r="N201" s="161"/>
      <c r="O201" s="161"/>
      <c r="P201" s="161"/>
      <c r="Q201" s="161"/>
      <c r="R201" s="161"/>
      <c r="S201" s="161"/>
      <c r="T201" s="161"/>
      <c r="U201" s="161"/>
      <c r="V201" s="161"/>
      <c r="W201" s="161"/>
      <c r="X201" s="161"/>
      <c r="Y201" s="161"/>
      <c r="Z201" s="161"/>
      <c r="AA201" s="161"/>
      <c r="AB201" s="161"/>
      <c r="AC201" s="161"/>
      <c r="AD201" s="161"/>
      <c r="AE201" s="161"/>
      <c r="AF201" s="161"/>
      <c r="AG201" s="161"/>
      <c r="AH201" s="161"/>
      <c r="AI201" s="161"/>
      <c r="AJ201" s="161"/>
      <c r="AK201" s="161"/>
      <c r="AL201" s="161"/>
      <c r="AM201" s="161"/>
      <c r="AN201" s="161"/>
      <c r="AO201" s="161"/>
      <c r="AP201" s="161"/>
      <c r="AQ201" s="161"/>
      <c r="AR201" s="161"/>
      <c r="AS201" s="161"/>
      <c r="AT201" s="161"/>
      <c r="AU201" s="161"/>
      <c r="AV201" s="161"/>
      <c r="AW201" s="161"/>
    </row>
  </sheetData>
  <mergeCells count="22">
    <mergeCell ref="D117:D120"/>
    <mergeCell ref="G117:G120"/>
    <mergeCell ref="D30:F30"/>
    <mergeCell ref="G30:H30"/>
    <mergeCell ref="D31:F31"/>
    <mergeCell ref="G31:H31"/>
    <mergeCell ref="A97:L97"/>
    <mergeCell ref="B110:C110"/>
    <mergeCell ref="D110:E110"/>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0" zoomScale="70" zoomScaleSheetLayoutView="70" workbookViewId="0">
      <selection activeCell="I31" sqref="I31"/>
    </sheetView>
  </sheetViews>
  <sheetFormatPr defaultRowHeight="15.75" x14ac:dyDescent="0.25"/>
  <cols>
    <col min="1" max="1" width="9.140625" style="56"/>
    <col min="2" max="2" width="37.7109375" style="56" customWidth="1"/>
    <col min="3" max="6" width="16.140625" style="56" customWidth="1"/>
    <col min="7" max="8" width="16.140625" style="56" hidden="1" customWidth="1"/>
    <col min="9" max="9" width="16.140625" style="56" customWidth="1"/>
    <col min="10"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7" t="s">
        <v>65</v>
      </c>
    </row>
    <row r="2" spans="1:44" ht="18.75" x14ac:dyDescent="0.3">
      <c r="L2" s="14" t="s">
        <v>7</v>
      </c>
    </row>
    <row r="3" spans="1:44" ht="18.75" x14ac:dyDescent="0.3">
      <c r="L3" s="14" t="s">
        <v>64</v>
      </c>
    </row>
    <row r="4" spans="1:44" ht="18.75" x14ac:dyDescent="0.3">
      <c r="K4" s="14"/>
    </row>
    <row r="5" spans="1:44" x14ac:dyDescent="0.25">
      <c r="A5" s="427" t="str">
        <f>'1. паспорт местоположение'!A5:C5</f>
        <v>Год раскрытия информации: 2025 год</v>
      </c>
      <c r="B5" s="427"/>
      <c r="C5" s="427"/>
      <c r="D5" s="427"/>
      <c r="E5" s="427"/>
      <c r="F5" s="427"/>
      <c r="G5" s="427"/>
      <c r="H5" s="427"/>
      <c r="I5" s="427"/>
      <c r="J5" s="427"/>
      <c r="K5" s="427"/>
      <c r="L5" s="427"/>
      <c r="M5" s="97"/>
      <c r="N5" s="97"/>
      <c r="O5" s="97"/>
      <c r="P5" s="97"/>
      <c r="Q5" s="97"/>
      <c r="R5" s="97"/>
      <c r="S5" s="97"/>
      <c r="T5" s="97"/>
      <c r="U5" s="97"/>
      <c r="V5" s="97"/>
      <c r="W5" s="97"/>
      <c r="X5" s="97"/>
      <c r="Y5" s="97"/>
      <c r="Z5" s="97"/>
      <c r="AA5" s="97"/>
      <c r="AB5" s="97"/>
      <c r="AC5" s="97"/>
      <c r="AD5" s="97"/>
      <c r="AE5" s="97"/>
      <c r="AF5" s="97"/>
      <c r="AG5" s="97"/>
      <c r="AH5" s="97"/>
      <c r="AI5" s="97"/>
      <c r="AJ5" s="97"/>
      <c r="AK5" s="97"/>
      <c r="AL5" s="97"/>
      <c r="AM5" s="97"/>
      <c r="AN5" s="97"/>
      <c r="AO5" s="97"/>
      <c r="AP5" s="97"/>
      <c r="AQ5" s="97"/>
      <c r="AR5" s="97"/>
    </row>
    <row r="6" spans="1:44" ht="18.75" x14ac:dyDescent="0.3">
      <c r="K6" s="14"/>
    </row>
    <row r="7" spans="1:44" ht="18.75" x14ac:dyDescent="0.25">
      <c r="A7" s="431" t="s">
        <v>6</v>
      </c>
      <c r="B7" s="431"/>
      <c r="C7" s="431"/>
      <c r="D7" s="431"/>
      <c r="E7" s="431"/>
      <c r="F7" s="431"/>
      <c r="G7" s="431"/>
      <c r="H7" s="431"/>
      <c r="I7" s="431"/>
      <c r="J7" s="431"/>
      <c r="K7" s="431"/>
      <c r="L7" s="431"/>
    </row>
    <row r="8" spans="1:44" ht="18.75" x14ac:dyDescent="0.25">
      <c r="A8" s="431"/>
      <c r="B8" s="431"/>
      <c r="C8" s="431"/>
      <c r="D8" s="431"/>
      <c r="E8" s="431"/>
      <c r="F8" s="431"/>
      <c r="G8" s="431"/>
      <c r="H8" s="431"/>
      <c r="I8" s="431"/>
      <c r="J8" s="431"/>
      <c r="K8" s="431"/>
      <c r="L8" s="431"/>
    </row>
    <row r="9" spans="1:44" x14ac:dyDescent="0.25">
      <c r="A9" s="435" t="str">
        <f>'1. паспорт местоположение'!A9:C9</f>
        <v>Акционерное общество "Россети Янтарь" ДЗО  ПАО "Россети"</v>
      </c>
      <c r="B9" s="435"/>
      <c r="C9" s="435"/>
      <c r="D9" s="435"/>
      <c r="E9" s="435"/>
      <c r="F9" s="435"/>
      <c r="G9" s="435"/>
      <c r="H9" s="435"/>
      <c r="I9" s="435"/>
      <c r="J9" s="435"/>
      <c r="K9" s="435"/>
      <c r="L9" s="435"/>
    </row>
    <row r="10" spans="1:44" x14ac:dyDescent="0.25">
      <c r="A10" s="428" t="s">
        <v>5</v>
      </c>
      <c r="B10" s="428"/>
      <c r="C10" s="428"/>
      <c r="D10" s="428"/>
      <c r="E10" s="428"/>
      <c r="F10" s="428"/>
      <c r="G10" s="428"/>
      <c r="H10" s="428"/>
      <c r="I10" s="428"/>
      <c r="J10" s="428"/>
      <c r="K10" s="428"/>
      <c r="L10" s="428"/>
    </row>
    <row r="11" spans="1:44" ht="18.75" x14ac:dyDescent="0.25">
      <c r="A11" s="431"/>
      <c r="B11" s="431"/>
      <c r="C11" s="431"/>
      <c r="D11" s="431"/>
      <c r="E11" s="431"/>
      <c r="F11" s="431"/>
      <c r="G11" s="431"/>
      <c r="H11" s="431"/>
      <c r="I11" s="431"/>
      <c r="J11" s="431"/>
      <c r="K11" s="431"/>
      <c r="L11" s="431"/>
    </row>
    <row r="12" spans="1:44" x14ac:dyDescent="0.25">
      <c r="A12" s="435" t="str">
        <f>'1. паспорт местоположение'!A12:C12</f>
        <v>N_19-1035-1</v>
      </c>
      <c r="B12" s="435"/>
      <c r="C12" s="435"/>
      <c r="D12" s="435"/>
      <c r="E12" s="435"/>
      <c r="F12" s="435"/>
      <c r="G12" s="435"/>
      <c r="H12" s="435"/>
      <c r="I12" s="435"/>
      <c r="J12" s="435"/>
      <c r="K12" s="435"/>
      <c r="L12" s="435"/>
    </row>
    <row r="13" spans="1:44" x14ac:dyDescent="0.25">
      <c r="A13" s="428" t="s">
        <v>4</v>
      </c>
      <c r="B13" s="428"/>
      <c r="C13" s="428"/>
      <c r="D13" s="428"/>
      <c r="E13" s="428"/>
      <c r="F13" s="428"/>
      <c r="G13" s="428"/>
      <c r="H13" s="428"/>
      <c r="I13" s="428"/>
      <c r="J13" s="428"/>
      <c r="K13" s="428"/>
      <c r="L13" s="428"/>
    </row>
    <row r="14" spans="1:44" ht="18.75" x14ac:dyDescent="0.25">
      <c r="A14" s="439"/>
      <c r="B14" s="439"/>
      <c r="C14" s="439"/>
      <c r="D14" s="439"/>
      <c r="E14" s="439"/>
      <c r="F14" s="439"/>
      <c r="G14" s="439"/>
      <c r="H14" s="439"/>
      <c r="I14" s="439"/>
      <c r="J14" s="439"/>
      <c r="K14" s="439"/>
      <c r="L14" s="439"/>
    </row>
    <row r="15" spans="1:44" ht="31.5" customHeight="1" x14ac:dyDescent="0.25">
      <c r="A15" s="440" t="str">
        <f>'1. паспорт местоположение'!A15:C15</f>
        <v>Реконструкция ЛЭП 0,23 кВ с переводом на напряжение 0,4 кВ: демонтаж ЛЭП 0,23 кВ протяженностью 1,055 км, строительство ЛЭП 0,4 кВ протяженностью 1,493 км, демонтаж ТП 6/0,23 кВ ТП-73 мощностью 0,15 МВА, демонтаж трансформатора 6/0,23 кВ  0,185 МВА в РП-VI, дооборудование резервной ячейки в РП-VI вакуумным выключателем 6 кВ и строительство 0,506 км кабельных линий 6 кВ в г. Калининграде</v>
      </c>
      <c r="B15" s="440"/>
      <c r="C15" s="440"/>
      <c r="D15" s="440"/>
      <c r="E15" s="440"/>
      <c r="F15" s="440"/>
      <c r="G15" s="440"/>
      <c r="H15" s="440"/>
      <c r="I15" s="440"/>
      <c r="J15" s="440"/>
      <c r="K15" s="440"/>
      <c r="L15" s="440"/>
    </row>
    <row r="16" spans="1:44" x14ac:dyDescent="0.25">
      <c r="A16" s="428" t="s">
        <v>3</v>
      </c>
      <c r="B16" s="428"/>
      <c r="C16" s="428"/>
      <c r="D16" s="428"/>
      <c r="E16" s="428"/>
      <c r="F16" s="428"/>
      <c r="G16" s="428"/>
      <c r="H16" s="428"/>
      <c r="I16" s="428"/>
      <c r="J16" s="428"/>
      <c r="K16" s="428"/>
      <c r="L16" s="428"/>
    </row>
    <row r="17" spans="1:12" ht="15.75" customHeight="1" x14ac:dyDescent="0.25">
      <c r="L17" s="72"/>
    </row>
    <row r="18" spans="1:12" x14ac:dyDescent="0.25">
      <c r="K18" s="71"/>
    </row>
    <row r="19" spans="1:12" ht="15.75" customHeight="1" x14ac:dyDescent="0.25">
      <c r="A19" s="514" t="s">
        <v>390</v>
      </c>
      <c r="B19" s="514"/>
      <c r="C19" s="514"/>
      <c r="D19" s="514"/>
      <c r="E19" s="514"/>
      <c r="F19" s="514"/>
      <c r="G19" s="514"/>
      <c r="H19" s="514"/>
      <c r="I19" s="514"/>
      <c r="J19" s="514"/>
      <c r="K19" s="514"/>
      <c r="L19" s="514"/>
    </row>
    <row r="20" spans="1:12" x14ac:dyDescent="0.25">
      <c r="A20" s="58"/>
      <c r="B20" s="58"/>
      <c r="C20" s="70"/>
      <c r="D20" s="70"/>
      <c r="E20" s="70"/>
      <c r="F20" s="70"/>
      <c r="G20" s="70"/>
      <c r="H20" s="70"/>
      <c r="I20" s="70"/>
      <c r="J20" s="70"/>
      <c r="K20" s="70"/>
      <c r="L20" s="70"/>
    </row>
    <row r="21" spans="1:12" ht="28.5" customHeight="1" x14ac:dyDescent="0.25">
      <c r="A21" s="504" t="s">
        <v>197</v>
      </c>
      <c r="B21" s="504" t="s">
        <v>196</v>
      </c>
      <c r="C21" s="510" t="s">
        <v>348</v>
      </c>
      <c r="D21" s="510"/>
      <c r="E21" s="510"/>
      <c r="F21" s="510"/>
      <c r="G21" s="510"/>
      <c r="H21" s="510"/>
      <c r="I21" s="505" t="s">
        <v>195</v>
      </c>
      <c r="J21" s="507" t="s">
        <v>350</v>
      </c>
      <c r="K21" s="504" t="s">
        <v>194</v>
      </c>
      <c r="L21" s="506" t="s">
        <v>349</v>
      </c>
    </row>
    <row r="22" spans="1:12" ht="58.5" customHeight="1" x14ac:dyDescent="0.25">
      <c r="A22" s="504"/>
      <c r="B22" s="504"/>
      <c r="C22" s="511" t="s">
        <v>1</v>
      </c>
      <c r="D22" s="511"/>
      <c r="E22" s="511" t="s">
        <v>8</v>
      </c>
      <c r="F22" s="511"/>
      <c r="G22" s="512" t="s">
        <v>593</v>
      </c>
      <c r="H22" s="513"/>
      <c r="I22" s="505"/>
      <c r="J22" s="508"/>
      <c r="K22" s="504"/>
      <c r="L22" s="506"/>
    </row>
    <row r="23" spans="1:12" ht="31.5" x14ac:dyDescent="0.25">
      <c r="A23" s="504"/>
      <c r="B23" s="504"/>
      <c r="C23" s="220" t="s">
        <v>193</v>
      </c>
      <c r="D23" s="220" t="s">
        <v>192</v>
      </c>
      <c r="E23" s="220" t="s">
        <v>193</v>
      </c>
      <c r="F23" s="220" t="s">
        <v>192</v>
      </c>
      <c r="G23" s="220" t="s">
        <v>193</v>
      </c>
      <c r="H23" s="220" t="s">
        <v>192</v>
      </c>
      <c r="I23" s="505"/>
      <c r="J23" s="509"/>
      <c r="K23" s="504"/>
      <c r="L23" s="506"/>
    </row>
    <row r="24" spans="1:12" x14ac:dyDescent="0.25">
      <c r="A24" s="63">
        <v>1</v>
      </c>
      <c r="B24" s="63">
        <v>2</v>
      </c>
      <c r="C24" s="220">
        <v>3</v>
      </c>
      <c r="D24" s="220">
        <v>4</v>
      </c>
      <c r="E24" s="220">
        <v>5</v>
      </c>
      <c r="F24" s="220">
        <v>6</v>
      </c>
      <c r="G24" s="220">
        <v>5</v>
      </c>
      <c r="H24" s="220">
        <v>6</v>
      </c>
      <c r="I24" s="69">
        <v>7</v>
      </c>
      <c r="J24" s="69">
        <v>8</v>
      </c>
      <c r="K24" s="69">
        <v>9</v>
      </c>
      <c r="L24" s="69">
        <v>10</v>
      </c>
    </row>
    <row r="25" spans="1:12" x14ac:dyDescent="0.25">
      <c r="A25" s="200">
        <v>1</v>
      </c>
      <c r="B25" s="202" t="s">
        <v>191</v>
      </c>
      <c r="C25" s="221"/>
      <c r="D25" s="221"/>
      <c r="E25" s="221"/>
      <c r="F25" s="221"/>
      <c r="G25" s="221"/>
      <c r="H25" s="221"/>
      <c r="I25" s="68"/>
      <c r="J25" s="68"/>
      <c r="K25" s="68"/>
      <c r="L25" s="68"/>
    </row>
    <row r="26" spans="1:12" x14ac:dyDescent="0.25">
      <c r="A26" s="200" t="s">
        <v>456</v>
      </c>
      <c r="B26" s="203" t="s">
        <v>457</v>
      </c>
      <c r="C26" s="369" t="s">
        <v>501</v>
      </c>
      <c r="D26" s="369" t="s">
        <v>501</v>
      </c>
      <c r="E26" s="369" t="s">
        <v>501</v>
      </c>
      <c r="F26" s="369" t="s">
        <v>501</v>
      </c>
      <c r="G26" s="369" t="s">
        <v>501</v>
      </c>
      <c r="H26" s="369" t="s">
        <v>501</v>
      </c>
      <c r="I26" s="194"/>
      <c r="J26" s="194"/>
      <c r="K26" s="68"/>
      <c r="L26" s="68"/>
    </row>
    <row r="27" spans="1:12" ht="31.5" x14ac:dyDescent="0.25">
      <c r="A27" s="200" t="s">
        <v>458</v>
      </c>
      <c r="B27" s="203" t="s">
        <v>459</v>
      </c>
      <c r="C27" s="369" t="s">
        <v>501</v>
      </c>
      <c r="D27" s="369" t="s">
        <v>501</v>
      </c>
      <c r="E27" s="369" t="s">
        <v>501</v>
      </c>
      <c r="F27" s="369" t="s">
        <v>501</v>
      </c>
      <c r="G27" s="369" t="s">
        <v>501</v>
      </c>
      <c r="H27" s="369" t="s">
        <v>501</v>
      </c>
      <c r="I27" s="194"/>
      <c r="J27" s="194"/>
      <c r="K27" s="68"/>
      <c r="L27" s="68"/>
    </row>
    <row r="28" spans="1:12" ht="63" x14ac:dyDescent="0.25">
      <c r="A28" s="200" t="s">
        <v>460</v>
      </c>
      <c r="B28" s="203" t="s">
        <v>461</v>
      </c>
      <c r="C28" s="369" t="s">
        <v>501</v>
      </c>
      <c r="D28" s="369" t="s">
        <v>501</v>
      </c>
      <c r="E28" s="369" t="s">
        <v>501</v>
      </c>
      <c r="F28" s="369" t="s">
        <v>501</v>
      </c>
      <c r="G28" s="369" t="s">
        <v>501</v>
      </c>
      <c r="H28" s="369" t="s">
        <v>501</v>
      </c>
      <c r="I28" s="194"/>
      <c r="J28" s="194"/>
      <c r="K28" s="68"/>
      <c r="L28" s="68"/>
    </row>
    <row r="29" spans="1:12" ht="31.5" x14ac:dyDescent="0.25">
      <c r="A29" s="200" t="s">
        <v>462</v>
      </c>
      <c r="B29" s="203" t="s">
        <v>463</v>
      </c>
      <c r="C29" s="369" t="s">
        <v>501</v>
      </c>
      <c r="D29" s="369" t="s">
        <v>501</v>
      </c>
      <c r="E29" s="369" t="s">
        <v>501</v>
      </c>
      <c r="F29" s="369" t="s">
        <v>501</v>
      </c>
      <c r="G29" s="369" t="s">
        <v>501</v>
      </c>
      <c r="H29" s="369" t="s">
        <v>501</v>
      </c>
      <c r="I29" s="194"/>
      <c r="J29" s="194"/>
      <c r="K29" s="68"/>
      <c r="L29" s="68"/>
    </row>
    <row r="30" spans="1:12" ht="31.5" x14ac:dyDescent="0.25">
      <c r="A30" s="200" t="s">
        <v>464</v>
      </c>
      <c r="B30" s="203" t="s">
        <v>465</v>
      </c>
      <c r="C30" s="369" t="s">
        <v>501</v>
      </c>
      <c r="D30" s="369" t="s">
        <v>501</v>
      </c>
      <c r="E30" s="369" t="s">
        <v>501</v>
      </c>
      <c r="F30" s="369" t="s">
        <v>501</v>
      </c>
      <c r="G30" s="369" t="s">
        <v>501</v>
      </c>
      <c r="H30" s="369" t="s">
        <v>501</v>
      </c>
      <c r="I30" s="194"/>
      <c r="J30" s="194"/>
      <c r="K30" s="68"/>
      <c r="L30" s="68"/>
    </row>
    <row r="31" spans="1:12" ht="31.5" x14ac:dyDescent="0.25">
      <c r="A31" s="200" t="s">
        <v>466</v>
      </c>
      <c r="B31" s="204" t="s">
        <v>467</v>
      </c>
      <c r="C31" s="370">
        <v>45168</v>
      </c>
      <c r="D31" s="370">
        <v>45168</v>
      </c>
      <c r="E31" s="370">
        <v>45168</v>
      </c>
      <c r="F31" s="370">
        <v>45168</v>
      </c>
      <c r="G31" s="370">
        <v>45168</v>
      </c>
      <c r="H31" s="370">
        <v>45168</v>
      </c>
      <c r="I31" s="194">
        <v>100</v>
      </c>
      <c r="J31" s="194"/>
      <c r="K31" s="68"/>
      <c r="L31" s="68"/>
    </row>
    <row r="32" spans="1:12" ht="31.5" x14ac:dyDescent="0.25">
      <c r="A32" s="200" t="s">
        <v>468</v>
      </c>
      <c r="B32" s="204" t="s">
        <v>469</v>
      </c>
      <c r="C32" s="369" t="s">
        <v>501</v>
      </c>
      <c r="D32" s="369" t="s">
        <v>501</v>
      </c>
      <c r="E32" s="369" t="s">
        <v>501</v>
      </c>
      <c r="F32" s="369" t="s">
        <v>501</v>
      </c>
      <c r="G32" s="369" t="s">
        <v>501</v>
      </c>
      <c r="H32" s="369" t="s">
        <v>501</v>
      </c>
      <c r="I32" s="194"/>
      <c r="J32" s="194"/>
      <c r="K32" s="68"/>
      <c r="L32" s="68"/>
    </row>
    <row r="33" spans="1:12" ht="47.25" x14ac:dyDescent="0.25">
      <c r="A33" s="200" t="s">
        <v>470</v>
      </c>
      <c r="B33" s="204" t="s">
        <v>471</v>
      </c>
      <c r="C33" s="369" t="s">
        <v>501</v>
      </c>
      <c r="D33" s="369" t="s">
        <v>501</v>
      </c>
      <c r="E33" s="369" t="s">
        <v>501</v>
      </c>
      <c r="F33" s="369" t="s">
        <v>501</v>
      </c>
      <c r="G33" s="369" t="s">
        <v>501</v>
      </c>
      <c r="H33" s="369" t="s">
        <v>501</v>
      </c>
      <c r="I33" s="194"/>
      <c r="J33" s="194"/>
      <c r="K33" s="68"/>
      <c r="L33" s="68"/>
    </row>
    <row r="34" spans="1:12" ht="63" x14ac:dyDescent="0.25">
      <c r="A34" s="200" t="s">
        <v>472</v>
      </c>
      <c r="B34" s="204" t="s">
        <v>473</v>
      </c>
      <c r="C34" s="369" t="s">
        <v>501</v>
      </c>
      <c r="D34" s="369" t="s">
        <v>501</v>
      </c>
      <c r="E34" s="369" t="s">
        <v>501</v>
      </c>
      <c r="F34" s="369" t="s">
        <v>501</v>
      </c>
      <c r="G34" s="369" t="s">
        <v>501</v>
      </c>
      <c r="H34" s="369" t="s">
        <v>501</v>
      </c>
      <c r="I34" s="194"/>
      <c r="J34" s="194"/>
      <c r="K34" s="68"/>
      <c r="L34" s="68"/>
    </row>
    <row r="35" spans="1:12" ht="31.5" x14ac:dyDescent="0.25">
      <c r="A35" s="200" t="s">
        <v>474</v>
      </c>
      <c r="B35" s="204" t="s">
        <v>190</v>
      </c>
      <c r="C35" s="371" t="s">
        <v>501</v>
      </c>
      <c r="D35" s="371" t="s">
        <v>501</v>
      </c>
      <c r="E35" s="371" t="s">
        <v>501</v>
      </c>
      <c r="F35" s="371" t="s">
        <v>501</v>
      </c>
      <c r="G35" s="371" t="s">
        <v>501</v>
      </c>
      <c r="H35" s="371" t="s">
        <v>501</v>
      </c>
      <c r="I35" s="194"/>
      <c r="J35" s="194"/>
      <c r="K35" s="68"/>
      <c r="L35" s="68"/>
    </row>
    <row r="36" spans="1:12" ht="31.5" x14ac:dyDescent="0.25">
      <c r="A36" s="200" t="s">
        <v>475</v>
      </c>
      <c r="B36" s="204" t="s">
        <v>476</v>
      </c>
      <c r="C36" s="369" t="s">
        <v>501</v>
      </c>
      <c r="D36" s="369" t="s">
        <v>501</v>
      </c>
      <c r="E36" s="369" t="s">
        <v>501</v>
      </c>
      <c r="F36" s="369" t="s">
        <v>501</v>
      </c>
      <c r="G36" s="369" t="s">
        <v>501</v>
      </c>
      <c r="H36" s="369" t="s">
        <v>501</v>
      </c>
      <c r="I36" s="194"/>
      <c r="J36" s="194"/>
      <c r="K36" s="68"/>
      <c r="L36" s="68"/>
    </row>
    <row r="37" spans="1:12" x14ac:dyDescent="0.25">
      <c r="A37" s="200" t="s">
        <v>477</v>
      </c>
      <c r="B37" s="204" t="s">
        <v>189</v>
      </c>
      <c r="C37" s="371">
        <v>45412</v>
      </c>
      <c r="D37" s="371">
        <v>45442</v>
      </c>
      <c r="E37" s="371">
        <v>45412</v>
      </c>
      <c r="F37" s="371">
        <v>45442</v>
      </c>
      <c r="G37" s="371">
        <v>45412</v>
      </c>
      <c r="H37" s="371">
        <v>45442</v>
      </c>
      <c r="I37" s="194">
        <v>100</v>
      </c>
      <c r="J37" s="194"/>
      <c r="K37" s="68"/>
      <c r="L37" s="68"/>
    </row>
    <row r="38" spans="1:12" x14ac:dyDescent="0.25">
      <c r="A38" s="200" t="s">
        <v>478</v>
      </c>
      <c r="B38" s="202" t="s">
        <v>188</v>
      </c>
      <c r="C38" s="369"/>
      <c r="D38" s="369"/>
      <c r="E38" s="369"/>
      <c r="F38" s="369"/>
      <c r="G38" s="369"/>
      <c r="H38" s="369"/>
      <c r="I38" s="194"/>
      <c r="J38" s="194"/>
      <c r="K38" s="68"/>
      <c r="L38" s="68"/>
    </row>
    <row r="39" spans="1:12" ht="63" x14ac:dyDescent="0.25">
      <c r="A39" s="200">
        <v>2</v>
      </c>
      <c r="B39" s="204" t="s">
        <v>479</v>
      </c>
      <c r="C39" s="372">
        <v>45168</v>
      </c>
      <c r="D39" s="372">
        <v>45289</v>
      </c>
      <c r="E39" s="372" t="s">
        <v>648</v>
      </c>
      <c r="F39" s="372" t="s">
        <v>649</v>
      </c>
      <c r="G39" s="372">
        <v>45168</v>
      </c>
      <c r="H39" s="372">
        <v>45289</v>
      </c>
      <c r="I39" s="194">
        <v>100</v>
      </c>
      <c r="J39" s="194"/>
      <c r="K39" s="68"/>
      <c r="L39" s="68"/>
    </row>
    <row r="40" spans="1:12" ht="31.5" x14ac:dyDescent="0.25">
      <c r="A40" s="200" t="s">
        <v>480</v>
      </c>
      <c r="B40" s="204" t="s">
        <v>481</v>
      </c>
      <c r="C40" s="373">
        <v>45260</v>
      </c>
      <c r="D40" s="373">
        <v>45289</v>
      </c>
      <c r="E40" s="372" t="s">
        <v>650</v>
      </c>
      <c r="F40" s="372" t="s">
        <v>651</v>
      </c>
      <c r="G40" s="373">
        <v>45260</v>
      </c>
      <c r="H40" s="373">
        <v>45289</v>
      </c>
      <c r="I40" s="194">
        <v>100</v>
      </c>
      <c r="J40" s="194"/>
      <c r="K40" s="68"/>
      <c r="L40" s="68"/>
    </row>
    <row r="41" spans="1:12" ht="47.25" x14ac:dyDescent="0.25">
      <c r="A41" s="200" t="s">
        <v>482</v>
      </c>
      <c r="B41" s="202" t="s">
        <v>483</v>
      </c>
      <c r="C41" s="374"/>
      <c r="D41" s="374"/>
      <c r="E41" s="234"/>
      <c r="F41" s="234"/>
      <c r="G41" s="374"/>
      <c r="H41" s="374"/>
      <c r="I41" s="194"/>
      <c r="J41" s="194"/>
      <c r="K41" s="68"/>
      <c r="L41" s="68"/>
    </row>
    <row r="42" spans="1:12" ht="31.5" x14ac:dyDescent="0.25">
      <c r="A42" s="200">
        <v>3</v>
      </c>
      <c r="B42" s="204" t="s">
        <v>484</v>
      </c>
      <c r="C42" s="374">
        <v>45412</v>
      </c>
      <c r="D42" s="374">
        <v>45565</v>
      </c>
      <c r="E42" s="372" t="s">
        <v>652</v>
      </c>
      <c r="F42" s="372" t="s">
        <v>653</v>
      </c>
      <c r="G42" s="374">
        <v>45412</v>
      </c>
      <c r="H42" s="374">
        <v>45565</v>
      </c>
      <c r="I42" s="194">
        <v>100</v>
      </c>
      <c r="J42" s="194"/>
      <c r="K42" s="68"/>
      <c r="L42" s="68"/>
    </row>
    <row r="43" spans="1:12" x14ac:dyDescent="0.25">
      <c r="A43" s="200" t="s">
        <v>485</v>
      </c>
      <c r="B43" s="204" t="s">
        <v>187</v>
      </c>
      <c r="C43" s="374">
        <v>45442</v>
      </c>
      <c r="D43" s="374">
        <v>45595</v>
      </c>
      <c r="E43" s="372">
        <v>45442</v>
      </c>
      <c r="F43" s="372">
        <v>45595</v>
      </c>
      <c r="G43" s="374">
        <v>45442</v>
      </c>
      <c r="H43" s="374">
        <v>45595</v>
      </c>
      <c r="I43" s="194">
        <v>50</v>
      </c>
      <c r="J43" s="194"/>
      <c r="K43" s="68"/>
      <c r="L43" s="68"/>
    </row>
    <row r="44" spans="1:12" x14ac:dyDescent="0.25">
      <c r="A44" s="200" t="s">
        <v>486</v>
      </c>
      <c r="B44" s="204" t="s">
        <v>186</v>
      </c>
      <c r="C44" s="374">
        <v>45453</v>
      </c>
      <c r="D44" s="374">
        <v>45609</v>
      </c>
      <c r="E44" s="372">
        <v>45453</v>
      </c>
      <c r="F44" s="372">
        <v>45654</v>
      </c>
      <c r="G44" s="374">
        <v>45453</v>
      </c>
      <c r="H44" s="374">
        <v>45609</v>
      </c>
      <c r="I44" s="194">
        <v>50</v>
      </c>
      <c r="J44" s="194"/>
      <c r="K44" s="68"/>
      <c r="L44" s="68"/>
    </row>
    <row r="45" spans="1:12" ht="78.75" x14ac:dyDescent="0.25">
      <c r="A45" s="200" t="s">
        <v>487</v>
      </c>
      <c r="B45" s="204" t="s">
        <v>488</v>
      </c>
      <c r="C45" s="374" t="s">
        <v>501</v>
      </c>
      <c r="D45" s="374" t="s">
        <v>501</v>
      </c>
      <c r="E45" s="234" t="s">
        <v>501</v>
      </c>
      <c r="F45" s="234" t="s">
        <v>501</v>
      </c>
      <c r="G45" s="374" t="s">
        <v>501</v>
      </c>
      <c r="H45" s="374" t="s">
        <v>501</v>
      </c>
      <c r="I45" s="194"/>
      <c r="J45" s="194"/>
      <c r="K45" s="68"/>
      <c r="L45" s="68"/>
    </row>
    <row r="46" spans="1:12" ht="157.5" x14ac:dyDescent="0.25">
      <c r="A46" s="200" t="s">
        <v>489</v>
      </c>
      <c r="B46" s="204" t="s">
        <v>490</v>
      </c>
      <c r="C46" s="374" t="s">
        <v>501</v>
      </c>
      <c r="D46" s="374" t="s">
        <v>501</v>
      </c>
      <c r="E46" s="234" t="s">
        <v>501</v>
      </c>
      <c r="F46" s="234" t="s">
        <v>501</v>
      </c>
      <c r="G46" s="374" t="s">
        <v>501</v>
      </c>
      <c r="H46" s="374" t="s">
        <v>501</v>
      </c>
      <c r="I46" s="194"/>
      <c r="J46" s="194"/>
      <c r="K46" s="68"/>
      <c r="L46" s="68"/>
    </row>
    <row r="47" spans="1:12" x14ac:dyDescent="0.25">
      <c r="A47" s="200" t="s">
        <v>491</v>
      </c>
      <c r="B47" s="204" t="s">
        <v>185</v>
      </c>
      <c r="C47" s="374">
        <v>45609</v>
      </c>
      <c r="D47" s="374">
        <v>45611</v>
      </c>
      <c r="E47" s="372">
        <v>45609</v>
      </c>
      <c r="F47" s="372">
        <v>45654</v>
      </c>
      <c r="G47" s="374">
        <v>45609</v>
      </c>
      <c r="H47" s="374">
        <v>45611</v>
      </c>
      <c r="I47" s="194">
        <v>50</v>
      </c>
      <c r="J47" s="194"/>
      <c r="K47" s="68"/>
      <c r="L47" s="68"/>
    </row>
    <row r="48" spans="1:12" ht="31.5" x14ac:dyDescent="0.25">
      <c r="A48" s="200" t="s">
        <v>492</v>
      </c>
      <c r="B48" s="202" t="s">
        <v>184</v>
      </c>
      <c r="C48" s="374"/>
      <c r="D48" s="374"/>
      <c r="E48" s="372"/>
      <c r="F48" s="372"/>
      <c r="G48" s="374"/>
      <c r="H48" s="374"/>
      <c r="I48" s="194"/>
      <c r="J48" s="194"/>
      <c r="K48" s="68"/>
      <c r="L48" s="68"/>
    </row>
    <row r="49" spans="1:12" ht="31.5" x14ac:dyDescent="0.25">
      <c r="A49" s="200">
        <v>4</v>
      </c>
      <c r="B49" s="204" t="s">
        <v>183</v>
      </c>
      <c r="C49" s="374">
        <v>45622</v>
      </c>
      <c r="D49" s="374">
        <v>45625</v>
      </c>
      <c r="E49" s="372">
        <v>45654</v>
      </c>
      <c r="F49" s="372">
        <v>45654</v>
      </c>
      <c r="G49" s="374">
        <v>45622</v>
      </c>
      <c r="H49" s="374">
        <v>45625</v>
      </c>
      <c r="I49" s="194">
        <v>50</v>
      </c>
      <c r="J49" s="194"/>
      <c r="K49" s="68"/>
      <c r="L49" s="68"/>
    </row>
    <row r="50" spans="1:12" ht="78.75" x14ac:dyDescent="0.25">
      <c r="A50" s="200" t="s">
        <v>493</v>
      </c>
      <c r="B50" s="204" t="s">
        <v>494</v>
      </c>
      <c r="C50" s="374">
        <v>45626</v>
      </c>
      <c r="D50" s="374">
        <v>45626</v>
      </c>
      <c r="E50" s="407">
        <v>45654</v>
      </c>
      <c r="F50" s="407">
        <v>45654</v>
      </c>
      <c r="G50" s="374">
        <v>45626</v>
      </c>
      <c r="H50" s="374">
        <v>45626</v>
      </c>
      <c r="I50" s="194">
        <v>50</v>
      </c>
      <c r="J50" s="194"/>
      <c r="K50" s="68"/>
      <c r="L50" s="68"/>
    </row>
    <row r="51" spans="1:12" ht="63" x14ac:dyDescent="0.25">
      <c r="A51" s="200" t="s">
        <v>495</v>
      </c>
      <c r="B51" s="204" t="s">
        <v>496</v>
      </c>
      <c r="C51" s="374" t="s">
        <v>501</v>
      </c>
      <c r="D51" s="374" t="s">
        <v>501</v>
      </c>
      <c r="E51" s="234" t="s">
        <v>501</v>
      </c>
      <c r="F51" s="234" t="s">
        <v>501</v>
      </c>
      <c r="G51" s="374" t="s">
        <v>501</v>
      </c>
      <c r="H51" s="374" t="s">
        <v>501</v>
      </c>
      <c r="I51" s="194"/>
      <c r="J51" s="194"/>
      <c r="K51" s="68"/>
      <c r="L51" s="68"/>
    </row>
    <row r="52" spans="1:12" ht="63" x14ac:dyDescent="0.25">
      <c r="A52" s="200" t="s">
        <v>497</v>
      </c>
      <c r="B52" s="204" t="s">
        <v>182</v>
      </c>
      <c r="C52" s="374" t="s">
        <v>501</v>
      </c>
      <c r="D52" s="374" t="s">
        <v>501</v>
      </c>
      <c r="E52" s="234" t="s">
        <v>501</v>
      </c>
      <c r="F52" s="234" t="s">
        <v>501</v>
      </c>
      <c r="G52" s="374" t="s">
        <v>501</v>
      </c>
      <c r="H52" s="374" t="s">
        <v>501</v>
      </c>
      <c r="I52" s="194"/>
      <c r="J52" s="194"/>
      <c r="K52" s="68"/>
      <c r="L52" s="68"/>
    </row>
    <row r="53" spans="1:12" ht="31.5" x14ac:dyDescent="0.25">
      <c r="A53" s="200" t="s">
        <v>498</v>
      </c>
      <c r="B53" s="201" t="s">
        <v>499</v>
      </c>
      <c r="C53" s="374">
        <v>45626</v>
      </c>
      <c r="D53" s="374">
        <v>45626</v>
      </c>
      <c r="E53" s="407">
        <v>45654</v>
      </c>
      <c r="F53" s="407">
        <v>45654</v>
      </c>
      <c r="G53" s="374">
        <v>45626</v>
      </c>
      <c r="H53" s="374">
        <v>45626</v>
      </c>
      <c r="I53" s="194">
        <v>50</v>
      </c>
      <c r="J53" s="194"/>
      <c r="K53" s="68"/>
      <c r="L53" s="68"/>
    </row>
    <row r="54" spans="1:12" ht="31.5" x14ac:dyDescent="0.25">
      <c r="A54" s="200" t="s">
        <v>500</v>
      </c>
      <c r="B54" s="204" t="s">
        <v>181</v>
      </c>
      <c r="C54" s="374" t="s">
        <v>501</v>
      </c>
      <c r="D54" s="374" t="s">
        <v>501</v>
      </c>
      <c r="E54" s="234" t="s">
        <v>501</v>
      </c>
      <c r="F54" s="234" t="s">
        <v>501</v>
      </c>
      <c r="G54" s="374" t="s">
        <v>501</v>
      </c>
      <c r="H54" s="374" t="s">
        <v>501</v>
      </c>
      <c r="I54" s="194"/>
      <c r="J54" s="194"/>
      <c r="K54" s="68"/>
      <c r="L54" s="68"/>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 '!Область_печати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2022-02-25T13:03:39Z</cp:lastPrinted>
  <dcterms:created xsi:type="dcterms:W3CDTF">2015-08-16T15:31:05Z</dcterms:created>
  <dcterms:modified xsi:type="dcterms:W3CDTF">2025-11-11T06:11:41Z</dcterms:modified>
</cp:coreProperties>
</file>